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activeTab="0"/>
  </bookViews>
  <sheets>
    <sheet name="Sheet1" sheetId="1" r:id="rId1"/>
  </sheets>
  <externalReferences>
    <externalReference r:id="rId4"/>
    <externalReference r:id="rId5"/>
    <externalReference r:id="rId6"/>
  </externalReferences>
  <definedNames/>
  <calcPr fullCalcOnLoad="1"/>
</workbook>
</file>

<file path=xl/sharedStrings.xml><?xml version="1.0" encoding="utf-8"?>
<sst xmlns="http://schemas.openxmlformats.org/spreadsheetml/2006/main" count="158" uniqueCount="134">
  <si>
    <t>Phụ lục số 03a-33NĐ31</t>
  </si>
  <si>
    <t>Biểu số 61/CK-NSNN</t>
  </si>
  <si>
    <t>DỰ TOÁN ƯỚC CHI NGÂN SÁCH ĐỊA PHƯƠNG ĐẾN 30/6/2020</t>
  </si>
  <si>
    <t>Đơn vị: triệu đồng</t>
  </si>
  <si>
    <t>TT</t>
  </si>
  <si>
    <t>Nội dung</t>
  </si>
  <si>
    <t>Thực hiện năm 2017</t>
  </si>
  <si>
    <t>Năm 2018</t>
  </si>
  <si>
    <t>Năm 2019</t>
  </si>
  <si>
    <t>6 tháng 2019</t>
  </si>
  <si>
    <t>Dự toán năm 2020</t>
  </si>
  <si>
    <t>Năm 2021</t>
  </si>
  <si>
    <t>Năm 2022</t>
  </si>
  <si>
    <t>Năm 2023</t>
  </si>
  <si>
    <t>Năm 2024</t>
  </si>
  <si>
    <t>Năm 2025</t>
  </si>
  <si>
    <t>So sanh (2020-2019)</t>
  </si>
  <si>
    <t>6 Tháng 2020</t>
  </si>
  <si>
    <t>So Sánh</t>
  </si>
  <si>
    <t>UTH cả năm 2020</t>
  </si>
  <si>
    <t>UTH/DT</t>
  </si>
  <si>
    <t>Cùng kỳ</t>
  </si>
  <si>
    <t>Tổng nguồn thu (bao gồm cả TƯ mục tiêu, vay NN)</t>
  </si>
  <si>
    <t>A</t>
  </si>
  <si>
    <t>TỔNG CHI NGÂN SÁCH ĐỊA PHƯƠNG QUẢN LÝ (I+II+III)</t>
  </si>
  <si>
    <t>I</t>
  </si>
  <si>
    <t>CHI CÂN ĐỐI NGÂN SÁCH ĐỊA PHƯƠNG</t>
  </si>
  <si>
    <t>Trong đó: Chi cân đối ngân sách địa phương tính tỷ lệ điều tiết, số bổ sung cân đối từ ngân sách trung ương cho ngân sách địa phương (1)</t>
  </si>
  <si>
    <t>Chi đầu tư phát triển</t>
  </si>
  <si>
    <t>Chi đầu tư và hỗ trợ vốn cho các doanh nghiệp cung cấp sản phẩm, dịch vụ công ích do Nhà nước đặt hàng, các tổ chức kinh tế, các tổ chức tài chính của địa phương theo quy định của pháp luật</t>
  </si>
  <si>
    <t>1.1</t>
  </si>
  <si>
    <t>Chi đầu tư cho các dự án</t>
  </si>
  <si>
    <t>Trong đó: Chia theo lĩnh vực</t>
  </si>
  <si>
    <t>Chi đầu tư phát triển của các dự án phân theo nguồn vốn</t>
  </si>
  <si>
    <t>-</t>
  </si>
  <si>
    <t>Chi giáo dục - đào tạo và dạy nghề</t>
  </si>
  <si>
    <t xml:space="preserve">Chi khoa học và công nghệ </t>
  </si>
  <si>
    <t>Trong đó: Chia theo nguồn vốn</t>
  </si>
  <si>
    <t>Chi đầu tư XDCB vốn trong nước</t>
  </si>
  <si>
    <t>Dự kiến chi từ nguồn CCTL</t>
  </si>
  <si>
    <t>Chi đầu tư từ nguồn thu tiền sử dụng đất</t>
  </si>
  <si>
    <t>Chi đầu tư từ nguồn thu xổ số kiến thiết</t>
  </si>
  <si>
    <t>Chi đầu tư từ nguồn tiết kiệm chi, tăng thu</t>
  </si>
  <si>
    <t>Chi từ nguồn vay WB chính phủ vay lại CT nước sạch</t>
  </si>
  <si>
    <t>Chi từ nguồn tăng thu DT thời kì ổn định NS huyện, xã</t>
  </si>
  <si>
    <t>1.2</t>
  </si>
  <si>
    <t>1.3</t>
  </si>
  <si>
    <t>Chi đầu tư phát triển khác</t>
  </si>
  <si>
    <t>1.2.2</t>
  </si>
  <si>
    <t>Chi đầu tư phát triển phân theo lĩnh vực</t>
  </si>
  <si>
    <t>MT</t>
  </si>
  <si>
    <t>a</t>
  </si>
  <si>
    <t>b</t>
  </si>
  <si>
    <t>Chi khoa học và công nghệ</t>
  </si>
  <si>
    <t>c</t>
  </si>
  <si>
    <t>Chi quốc phòng</t>
  </si>
  <si>
    <t>d</t>
  </si>
  <si>
    <t>Chi an ninh</t>
  </si>
  <si>
    <t>đ</t>
  </si>
  <si>
    <t>Chi y tế, dân số và gia đình</t>
  </si>
  <si>
    <t>e</t>
  </si>
  <si>
    <t>Chi văn hóa thông tin</t>
  </si>
  <si>
    <t>g</t>
  </si>
  <si>
    <t>Chi phát thanh, truyền hình</t>
  </si>
  <si>
    <t>h</t>
  </si>
  <si>
    <t xml:space="preserve">Chi thể dục thể thao </t>
  </si>
  <si>
    <t>i</t>
  </si>
  <si>
    <t>Chi bảo vệ môi trường</t>
  </si>
  <si>
    <t>k</t>
  </si>
  <si>
    <t>Chi hoạt động kinh tế</t>
  </si>
  <si>
    <t>l</t>
  </si>
  <si>
    <t>Chi hoạt động quản lý nhà nước, Đảng, đoàn thể</t>
  </si>
  <si>
    <t>m</t>
  </si>
  <si>
    <t>Chi bảo đảm xã hội</t>
  </si>
  <si>
    <t>n</t>
  </si>
  <si>
    <t>Chi khác</t>
  </si>
  <si>
    <t>Chi thường xuyên</t>
  </si>
  <si>
    <t>2.1</t>
  </si>
  <si>
    <t>2.2</t>
  </si>
  <si>
    <t>GD</t>
  </si>
  <si>
    <t>2.3</t>
  </si>
  <si>
    <t>KHCN</t>
  </si>
  <si>
    <t>2.4</t>
  </si>
  <si>
    <t>2.5</t>
  </si>
  <si>
    <t>Chi sự nghiệp y tế, dân số và gia đình</t>
  </si>
  <si>
    <t>2.6</t>
  </si>
  <si>
    <t>Chi sự nghiệp văn hóa thông tin</t>
  </si>
  <si>
    <t>2.7</t>
  </si>
  <si>
    <t>Chi sự nghiệp phát thanh, truyền hình</t>
  </si>
  <si>
    <t>2.8</t>
  </si>
  <si>
    <t>Chi sự nghiệp thể dục thể thao</t>
  </si>
  <si>
    <t>2.9</t>
  </si>
  <si>
    <t>Chi sự nghiệp bảo vệ môi trường</t>
  </si>
  <si>
    <t>2.10</t>
  </si>
  <si>
    <t>2.11</t>
  </si>
  <si>
    <t>2.12</t>
  </si>
  <si>
    <t>2.13</t>
  </si>
  <si>
    <t>Chi trả nợ lãi do chính quyền địa phương vay</t>
  </si>
  <si>
    <t>Chi bổ sung quỹ dự trữ tài chính</t>
  </si>
  <si>
    <t>Dự phòng ngân sách</t>
  </si>
  <si>
    <t xml:space="preserve">Chi tạo nguồn cải cách tiền lương </t>
  </si>
  <si>
    <t>Trong đó TK 10%</t>
  </si>
  <si>
    <t>Chi nộp ngân sách cấp trên</t>
  </si>
  <si>
    <t>II</t>
  </si>
  <si>
    <t>Chi từ nguồn bổ sung có mục tiêu</t>
  </si>
  <si>
    <t>Chi thực hiện các chương trình mục tiêu quốc gia</t>
  </si>
  <si>
    <t>Chi đầu tư các chương trình mục tiêu, nhiệm vụ khác</t>
  </si>
  <si>
    <t>Chi thực hiện các chế độ, chính sách theo quy định</t>
  </si>
  <si>
    <t>III</t>
  </si>
  <si>
    <t>IV</t>
  </si>
  <si>
    <t>Chi CN / Chi từ nguồn chuyển nguồn</t>
  </si>
  <si>
    <t>B</t>
  </si>
  <si>
    <t>BỘI CHI NGÂN SÁCH ĐỊA PHƯƠNG/BỘI THU NGÂN SÁCH ĐỊA PHƯƠNG</t>
  </si>
  <si>
    <t>BỘI CHI NGÂN SÁCH ĐỊA PHƯƠNG</t>
  </si>
  <si>
    <t>VAY ĐỂ TRẢ NỢ GỐC</t>
  </si>
  <si>
    <t>BỘI THU NGÂN SÁCH ĐỊA PHƯƠNG (trả nợ gôc)</t>
  </si>
  <si>
    <t>C</t>
  </si>
  <si>
    <t>CHI CHUYỂN NGUỒN SANG NĂM SAU CỦA NGÂN SÁCH ĐỊA PHƯƠNG</t>
  </si>
  <si>
    <t>So sánh 2020 với 2019</t>
  </si>
  <si>
    <t xml:space="preserve">Tổng số </t>
  </si>
  <si>
    <t>Đất</t>
  </si>
  <si>
    <t>Tăng chi ko kể đất</t>
  </si>
  <si>
    <t>Đầu tư</t>
  </si>
  <si>
    <t>Lãi vay</t>
  </si>
  <si>
    <t>Thường xuyên</t>
  </si>
  <si>
    <t>Mục tiêu</t>
  </si>
  <si>
    <t>Dự phòng (2-4% tổng chi mỗi cấp)</t>
  </si>
  <si>
    <t>cải cách tiền lương</t>
  </si>
  <si>
    <t>Bội thu</t>
  </si>
  <si>
    <t>Trong đó</t>
  </si>
  <si>
    <t>Giáo dục</t>
  </si>
  <si>
    <t>Khoa học</t>
  </si>
  <si>
    <t>Môi trường</t>
  </si>
  <si>
    <t>(Kèm theo Báo cáo số 414/BC-STC ngày 06/7/2020 của Sở Tài chính)</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</si>
</sst>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0.0%"/>
    <numFmt numFmtId="166" formatCode="_(* #,##0_);_(* \(#,##0\);_(* &quot;-&quot;??_);_(@_)"/>
  </numFmts>
  <fonts count="45">
    <font>
      <sz val="11"/>
      <color theme="1"/>
      <name val="Calibri"/>
      <family val="2"/>
    </font>
    <font>
      <sz val="11"/>
      <color indexed="8"/>
      <name val="Calibri"/>
      <family val="2"/>
    </font>
    <font>
      <b/>
      <sz val="11"/>
      <color indexed="8"/>
      <name val="Times New Roman"/>
      <family val="1"/>
    </font>
    <font>
      <sz val="11"/>
      <name val="Times New Roman"/>
      <family val="1"/>
    </font>
    <font>
      <i/>
      <sz val="11"/>
      <color indexed="8"/>
      <name val="Times New Roman"/>
      <family val="1"/>
    </font>
    <font>
      <i/>
      <sz val="11"/>
      <name val="Times New Roman"/>
      <family val="1"/>
    </font>
    <font>
      <b/>
      <sz val="11"/>
      <name val="Times New Roman"/>
      <family val="1"/>
    </font>
    <font>
      <sz val="11"/>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10"/>
      <name val="Times New Roman"/>
      <family val="1"/>
    </font>
    <font>
      <b/>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4">
    <xf numFmtId="0" fontId="0" fillId="0" borderId="0" xfId="0" applyFont="1" applyAlignment="1">
      <alignment/>
    </xf>
    <xf numFmtId="0" fontId="2" fillId="0" borderId="0" xfId="0" applyFont="1" applyAlignment="1">
      <alignment vertical="center"/>
    </xf>
    <xf numFmtId="0" fontId="3" fillId="0" borderId="0" xfId="0" applyFont="1" applyAlignment="1">
      <alignment/>
    </xf>
    <xf numFmtId="3" fontId="3" fillId="0" borderId="0" xfId="0" applyNumberFormat="1" applyFont="1" applyAlignment="1">
      <alignment/>
    </xf>
    <xf numFmtId="3" fontId="3" fillId="0" borderId="0" xfId="0" applyNumberFormat="1" applyFont="1" applyFill="1" applyAlignment="1">
      <alignment/>
    </xf>
    <xf numFmtId="0" fontId="3" fillId="0" borderId="0" xfId="0" applyFont="1" applyAlignment="1">
      <alignment horizontal="right"/>
    </xf>
    <xf numFmtId="3" fontId="3" fillId="0" borderId="0" xfId="0" applyNumberFormat="1" applyFont="1" applyAlignment="1">
      <alignment horizontal="right"/>
    </xf>
    <xf numFmtId="0" fontId="3" fillId="0" borderId="0" xfId="0" applyFont="1" applyAlignment="1">
      <alignment horizontal="center"/>
    </xf>
    <xf numFmtId="9" fontId="3" fillId="0" borderId="0" xfId="57" applyFont="1" applyAlignment="1">
      <alignment/>
    </xf>
    <xf numFmtId="0" fontId="3" fillId="0" borderId="0" xfId="0" applyFont="1" applyAlignment="1">
      <alignment/>
    </xf>
    <xf numFmtId="0" fontId="4" fillId="0" borderId="0" xfId="0" applyFont="1" applyAlignment="1">
      <alignment horizontal="center" vertical="center"/>
    </xf>
    <xf numFmtId="0" fontId="4" fillId="0" borderId="0" xfId="0" applyFont="1" applyAlignment="1">
      <alignment vertical="center"/>
    </xf>
    <xf numFmtId="3" fontId="4" fillId="0" borderId="0" xfId="0" applyNumberFormat="1" applyFont="1" applyAlignment="1">
      <alignment vertical="center"/>
    </xf>
    <xf numFmtId="4" fontId="3" fillId="0" borderId="0" xfId="0" applyNumberFormat="1" applyFont="1" applyAlignment="1">
      <alignment/>
    </xf>
    <xf numFmtId="9" fontId="3" fillId="0" borderId="0" xfId="57" applyFont="1" applyAlignment="1">
      <alignment/>
    </xf>
    <xf numFmtId="3" fontId="3" fillId="0" borderId="0" xfId="0" applyNumberFormat="1" applyFont="1" applyAlignment="1">
      <alignment/>
    </xf>
    <xf numFmtId="3" fontId="3" fillId="0" borderId="0" xfId="0" applyNumberFormat="1" applyFont="1" applyFill="1" applyAlignment="1">
      <alignment/>
    </xf>
    <xf numFmtId="3" fontId="3" fillId="0" borderId="0" xfId="42" applyNumberFormat="1" applyFont="1" applyAlignment="1">
      <alignment/>
    </xf>
    <xf numFmtId="0" fontId="3" fillId="0" borderId="0" xfId="0" applyFont="1" applyBorder="1" applyAlignment="1">
      <alignment horizontal="center"/>
    </xf>
    <xf numFmtId="0" fontId="43" fillId="0" borderId="0" xfId="0" applyFont="1" applyAlignment="1">
      <alignment/>
    </xf>
    <xf numFmtId="3" fontId="2"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wrapText="1"/>
    </xf>
    <xf numFmtId="3" fontId="2" fillId="0" borderId="10" xfId="42" applyNumberFormat="1" applyFont="1" applyBorder="1" applyAlignment="1">
      <alignment horizontal="center" vertical="center" wrapText="1"/>
    </xf>
    <xf numFmtId="0" fontId="6" fillId="0" borderId="10" xfId="0" applyFont="1" applyBorder="1" applyAlignment="1">
      <alignment horizontal="center" vertical="center" wrapText="1"/>
    </xf>
    <xf numFmtId="9" fontId="6" fillId="0" borderId="10" xfId="57" applyFont="1" applyBorder="1" applyAlignment="1">
      <alignment horizontal="center" vertical="center" wrapText="1"/>
    </xf>
    <xf numFmtId="0" fontId="6" fillId="0" borderId="0" xfId="0" applyFont="1" applyAlignment="1">
      <alignment/>
    </xf>
    <xf numFmtId="3" fontId="2" fillId="0" borderId="11" xfId="0" applyNumberFormat="1" applyFont="1" applyBorder="1" applyAlignment="1">
      <alignment horizontal="center" vertical="center" wrapText="1"/>
    </xf>
    <xf numFmtId="14" fontId="2" fillId="0" borderId="11" xfId="0" applyNumberFormat="1" applyFont="1" applyFill="1" applyBorder="1" applyAlignment="1">
      <alignment horizontal="center" vertical="center" wrapText="1"/>
    </xf>
    <xf numFmtId="3" fontId="2" fillId="0" borderId="11" xfId="42" applyNumberFormat="1" applyFont="1" applyBorder="1" applyAlignment="1">
      <alignment horizontal="center" vertical="center" wrapText="1"/>
    </xf>
    <xf numFmtId="0" fontId="6" fillId="0" borderId="11" xfId="0" applyFont="1" applyBorder="1" applyAlignment="1">
      <alignment horizontal="center" vertical="center" wrapText="1"/>
    </xf>
    <xf numFmtId="9" fontId="6" fillId="0" borderId="11" xfId="57" applyFont="1" applyBorder="1" applyAlignment="1">
      <alignment horizontal="center" vertical="center" wrapText="1"/>
    </xf>
    <xf numFmtId="3" fontId="6" fillId="0" borderId="11"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11" xfId="42" applyNumberFormat="1" applyFont="1" applyBorder="1" applyAlignment="1">
      <alignment horizontal="center" vertical="center" wrapText="1"/>
    </xf>
    <xf numFmtId="3" fontId="3" fillId="0" borderId="11" xfId="0" applyNumberFormat="1" applyFont="1" applyBorder="1" applyAlignment="1">
      <alignment horizontal="center"/>
    </xf>
    <xf numFmtId="0" fontId="3" fillId="0" borderId="11" xfId="0" applyFont="1" applyBorder="1" applyAlignment="1">
      <alignment horizontal="center"/>
    </xf>
    <xf numFmtId="9" fontId="3" fillId="0" borderId="11" xfId="57" applyFont="1" applyBorder="1" applyAlignment="1">
      <alignment horizontal="center"/>
    </xf>
    <xf numFmtId="0" fontId="43" fillId="0" borderId="11" xfId="0" applyFont="1" applyBorder="1" applyAlignment="1">
      <alignment horizontal="center"/>
    </xf>
    <xf numFmtId="3" fontId="3" fillId="0" borderId="11" xfId="0" applyNumberFormat="1" applyFont="1" applyBorder="1" applyAlignment="1">
      <alignment/>
    </xf>
    <xf numFmtId="0" fontId="3" fillId="0" borderId="11" xfId="0" applyFont="1" applyBorder="1" applyAlignment="1">
      <alignment/>
    </xf>
    <xf numFmtId="9" fontId="3" fillId="0" borderId="11" xfId="57" applyFont="1" applyBorder="1" applyAlignment="1">
      <alignment/>
    </xf>
    <xf numFmtId="0" fontId="43" fillId="0" borderId="11" xfId="0" applyFont="1" applyBorder="1" applyAlignment="1">
      <alignment/>
    </xf>
    <xf numFmtId="3" fontId="2" fillId="0" borderId="11" xfId="0" applyNumberFormat="1" applyFont="1" applyBorder="1" applyAlignment="1">
      <alignment vertical="center" wrapText="1"/>
    </xf>
    <xf numFmtId="3" fontId="2" fillId="0" borderId="11" xfId="0" applyNumberFormat="1" applyFont="1" applyBorder="1" applyAlignment="1">
      <alignment horizontal="right" vertical="center" wrapText="1"/>
    </xf>
    <xf numFmtId="3" fontId="2" fillId="0" borderId="11" xfId="42" applyNumberFormat="1" applyFont="1" applyBorder="1" applyAlignment="1">
      <alignment horizontal="right" vertical="center" wrapText="1"/>
    </xf>
    <xf numFmtId="165" fontId="2" fillId="0" borderId="11" xfId="57" applyNumberFormat="1" applyFont="1" applyBorder="1" applyAlignment="1">
      <alignment horizontal="right" vertical="center" wrapText="1"/>
    </xf>
    <xf numFmtId="3" fontId="44" fillId="0" borderId="11" xfId="0" applyNumberFormat="1" applyFont="1" applyBorder="1" applyAlignment="1">
      <alignment/>
    </xf>
    <xf numFmtId="3" fontId="6" fillId="0" borderId="0" xfId="0" applyNumberFormat="1" applyFont="1" applyAlignment="1">
      <alignment/>
    </xf>
    <xf numFmtId="3" fontId="2" fillId="0" borderId="11" xfId="0" applyNumberFormat="1" applyFont="1" applyFill="1" applyBorder="1" applyAlignment="1">
      <alignment horizontal="right" vertical="center" wrapText="1"/>
    </xf>
    <xf numFmtId="3" fontId="4" fillId="0" borderId="11" xfId="0" applyNumberFormat="1" applyFont="1" applyBorder="1" applyAlignment="1">
      <alignment vertical="center" wrapText="1"/>
    </xf>
    <xf numFmtId="3" fontId="4" fillId="0" borderId="11" xfId="0" applyNumberFormat="1" applyFont="1" applyFill="1" applyBorder="1" applyAlignment="1">
      <alignment vertical="center" wrapText="1"/>
    </xf>
    <xf numFmtId="3" fontId="7" fillId="0" borderId="11" xfId="42"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3" fontId="43" fillId="0" borderId="11" xfId="0" applyNumberFormat="1" applyFont="1" applyBorder="1" applyAlignment="1">
      <alignment/>
    </xf>
    <xf numFmtId="3" fontId="2" fillId="0" borderId="11" xfId="0" applyNumberFormat="1" applyFont="1" applyFill="1" applyBorder="1" applyAlignment="1">
      <alignment vertical="center" wrapText="1"/>
    </xf>
    <xf numFmtId="3" fontId="6" fillId="0" borderId="11" xfId="0" applyNumberFormat="1" applyFont="1" applyBorder="1" applyAlignment="1">
      <alignment/>
    </xf>
    <xf numFmtId="0" fontId="8" fillId="0" borderId="11" xfId="0" applyFont="1" applyBorder="1" applyAlignment="1">
      <alignment vertical="center" wrapText="1"/>
    </xf>
    <xf numFmtId="3" fontId="7" fillId="0" borderId="11" xfId="0" applyNumberFormat="1" applyFont="1" applyBorder="1" applyAlignment="1">
      <alignment vertical="center" wrapText="1"/>
    </xf>
    <xf numFmtId="3" fontId="7" fillId="0" borderId="11" xfId="0" applyNumberFormat="1" applyFont="1" applyFill="1" applyBorder="1" applyAlignment="1">
      <alignment vertical="center" wrapText="1"/>
    </xf>
    <xf numFmtId="0" fontId="7" fillId="0" borderId="11" xfId="0" applyFont="1" applyBorder="1" applyAlignment="1">
      <alignment vertical="center" wrapText="1"/>
    </xf>
    <xf numFmtId="166" fontId="3" fillId="0" borderId="11" xfId="42" applyNumberFormat="1" applyFont="1" applyBorder="1" applyAlignment="1">
      <alignment/>
    </xf>
    <xf numFmtId="0" fontId="6" fillId="0" borderId="11" xfId="0" applyFont="1" applyBorder="1" applyAlignment="1">
      <alignment/>
    </xf>
    <xf numFmtId="9" fontId="6" fillId="0" borderId="11" xfId="57" applyFont="1" applyBorder="1" applyAlignment="1">
      <alignment/>
    </xf>
    <xf numFmtId="3" fontId="7" fillId="0" borderId="11" xfId="42" applyNumberFormat="1" applyFont="1" applyFill="1" applyBorder="1" applyAlignment="1">
      <alignment vertical="center" wrapText="1"/>
    </xf>
    <xf numFmtId="3" fontId="7" fillId="0" borderId="11" xfId="42" applyNumberFormat="1" applyFont="1" applyFill="1" applyBorder="1" applyAlignment="1">
      <alignment horizontal="right" vertical="center" wrapText="1"/>
    </xf>
    <xf numFmtId="3" fontId="3" fillId="0" borderId="11" xfId="0" applyNumberFormat="1" applyFont="1" applyFill="1" applyBorder="1" applyAlignment="1">
      <alignment/>
    </xf>
    <xf numFmtId="0" fontId="3" fillId="0" borderId="11" xfId="0" applyFont="1" applyFill="1" applyBorder="1" applyAlignment="1">
      <alignment/>
    </xf>
    <xf numFmtId="9" fontId="3" fillId="0" borderId="11" xfId="57" applyFont="1" applyFill="1" applyBorder="1" applyAlignment="1">
      <alignment/>
    </xf>
    <xf numFmtId="3" fontId="43" fillId="0" borderId="11" xfId="0" applyNumberFormat="1" applyFont="1" applyFill="1" applyBorder="1" applyAlignment="1">
      <alignment/>
    </xf>
    <xf numFmtId="0" fontId="3" fillId="0" borderId="0" xfId="0" applyFont="1" applyFill="1" applyAlignment="1">
      <alignment/>
    </xf>
    <xf numFmtId="0" fontId="7" fillId="0" borderId="11" xfId="0" applyFont="1" applyBorder="1" applyAlignment="1">
      <alignment horizontal="center" vertical="center" wrapText="1"/>
    </xf>
    <xf numFmtId="3" fontId="4" fillId="0" borderId="11" xfId="0" applyNumberFormat="1" applyFont="1" applyBorder="1" applyAlignment="1">
      <alignment horizontal="center" vertical="center" wrapText="1"/>
    </xf>
    <xf numFmtId="3" fontId="43" fillId="0" borderId="11" xfId="42" applyNumberFormat="1" applyFont="1" applyBorder="1" applyAlignment="1">
      <alignment horizontal="right" vertical="center" wrapText="1"/>
    </xf>
    <xf numFmtId="165" fontId="7" fillId="0" borderId="11" xfId="57" applyNumberFormat="1" applyFont="1" applyBorder="1" applyAlignment="1">
      <alignment horizontal="right" vertical="center" wrapText="1"/>
    </xf>
    <xf numFmtId="3" fontId="2" fillId="0" borderId="11" xfId="42" applyNumberFormat="1" applyFont="1" applyFill="1" applyBorder="1" applyAlignment="1">
      <alignment horizontal="right" vertical="center" wrapText="1"/>
    </xf>
    <xf numFmtId="3" fontId="2" fillId="0" borderId="12" xfId="0" applyNumberFormat="1" applyFont="1" applyBorder="1" applyAlignment="1">
      <alignment horizontal="center" vertical="center" wrapText="1"/>
    </xf>
    <xf numFmtId="3" fontId="2" fillId="0" borderId="12" xfId="0" applyNumberFormat="1" applyFont="1" applyBorder="1" applyAlignment="1">
      <alignment vertical="center" wrapText="1"/>
    </xf>
    <xf numFmtId="3" fontId="2" fillId="0" borderId="12" xfId="0" applyNumberFormat="1" applyFont="1" applyFill="1" applyBorder="1" applyAlignment="1">
      <alignment vertical="center" wrapText="1"/>
    </xf>
    <xf numFmtId="3" fontId="7" fillId="0" borderId="12" xfId="42" applyNumberFormat="1" applyFont="1" applyBorder="1" applyAlignment="1">
      <alignment horizontal="right" vertical="center" wrapText="1"/>
    </xf>
    <xf numFmtId="3" fontId="3" fillId="0" borderId="12" xfId="0" applyNumberFormat="1" applyFont="1" applyBorder="1" applyAlignment="1">
      <alignment/>
    </xf>
    <xf numFmtId="166" fontId="3" fillId="0" borderId="12" xfId="42" applyNumberFormat="1" applyFont="1" applyBorder="1" applyAlignment="1">
      <alignment/>
    </xf>
    <xf numFmtId="0" fontId="3" fillId="0" borderId="12" xfId="0" applyFont="1" applyBorder="1" applyAlignment="1">
      <alignment/>
    </xf>
    <xf numFmtId="9" fontId="3" fillId="0" borderId="12" xfId="57" applyFont="1" applyBorder="1" applyAlignment="1">
      <alignment/>
    </xf>
    <xf numFmtId="165" fontId="2" fillId="0" borderId="12" xfId="57" applyNumberFormat="1" applyFont="1" applyBorder="1" applyAlignment="1">
      <alignment horizontal="right" vertical="center" wrapText="1"/>
    </xf>
    <xf numFmtId="3" fontId="43" fillId="0" borderId="12" xfId="0" applyNumberFormat="1" applyFont="1" applyBorder="1" applyAlignment="1">
      <alignment/>
    </xf>
    <xf numFmtId="3" fontId="3" fillId="0" borderId="0" xfId="42" applyNumberFormat="1" applyFont="1" applyAlignment="1">
      <alignment horizontal="right"/>
    </xf>
    <xf numFmtId="166" fontId="3" fillId="0" borderId="0" xfId="42" applyNumberFormat="1" applyFont="1" applyAlignment="1">
      <alignment/>
    </xf>
    <xf numFmtId="3" fontId="2"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 fillId="0" borderId="0" xfId="0" applyFont="1" applyAlignment="1">
      <alignment horizontal="center" vertical="center"/>
    </xf>
    <xf numFmtId="3" fontId="5" fillId="0" borderId="0" xfId="0" applyNumberFormat="1" applyFont="1" applyAlignment="1">
      <alignment horizontal="right"/>
    </xf>
    <xf numFmtId="0" fontId="3" fillId="0" borderId="0" xfId="0" applyFont="1" applyBorder="1" applyAlignment="1">
      <alignment horizontal="center"/>
    </xf>
    <xf numFmtId="3" fontId="2" fillId="0" borderId="11"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wrapText="1"/>
    </xf>
    <xf numFmtId="3" fontId="2" fillId="0" borderId="10" xfId="42" applyNumberFormat="1" applyFont="1" applyBorder="1" applyAlignment="1">
      <alignment horizontal="center" vertical="center" wrapText="1"/>
    </xf>
    <xf numFmtId="3" fontId="2" fillId="0" borderId="11" xfId="42" applyNumberFormat="1" applyFont="1" applyBorder="1" applyAlignment="1">
      <alignment horizontal="center" vertical="center" wrapText="1"/>
    </xf>
    <xf numFmtId="0" fontId="3" fillId="0" borderId="0" xfId="0" applyFont="1" applyAlignment="1">
      <alignment horizontal="right"/>
    </xf>
    <xf numFmtId="0" fontId="3" fillId="0" borderId="0" xfId="0" applyFont="1" applyAlignment="1">
      <alignment horizontal="center"/>
    </xf>
    <xf numFmtId="3" fontId="3" fillId="0" borderId="0" xfId="0" applyNumberFormat="1" applyFont="1" applyAlignment="1">
      <alignment horizontal="right"/>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hatloc\Downloads\Bao%20cao%206%20tha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hatloc\Downloads\PA%20tinh%20ngay%2015.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hatloc\Downloads\PHU%20L&#7908;C%20NQ%20QUYET%20TO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a.Thu"/>
      <sheetName val="03a chi"/>
      <sheetName val="03b.Chi tinh"/>
      <sheetName val="04a"/>
      <sheetName val="04b.TX"/>
      <sheetName val="02bThu ĐT"/>
      <sheetName val="01b.CD cap"/>
      <sheetName val="01a.CĐ"/>
      <sheetName val="TLĐT"/>
      <sheetName val="DM bieu"/>
      <sheetName val="bieu"/>
      <sheetName val="05.Thu HX"/>
      <sheetName val="06a.06b chi HX"/>
      <sheetName val="07.BSMT"/>
      <sheetName val="08.HTNT"/>
      <sheetName val="09.DP"/>
      <sheetName val="10.vay"/>
      <sheetName val="11.BSCĐ"/>
      <sheetName val="12a.TKHX"/>
      <sheetName val="12b TKT"/>
      <sheetName val="13.quytc"/>
      <sheetName val="14a.lg H"/>
      <sheetName val="14b. Lg xa"/>
      <sheetName val="15. NC sach"/>
      <sheetName val="16. Thu SN"/>
      <sheetName val="17.MTQG"/>
      <sheetName val="CCTL"/>
      <sheetName val="candoi huyen"/>
      <sheetName val="candoi xa"/>
      <sheetName val="Chi TX H"/>
      <sheetName val="Chi TX XA"/>
      <sheetName val="TK H"/>
      <sheetName val="TK xa"/>
      <sheetName val="02c SThue"/>
    </sheetNames>
    <sheetDataSet>
      <sheetData sheetId="0">
        <row r="56">
          <cell r="Q56">
            <v>3200000</v>
          </cell>
          <cell r="Y56">
            <v>3000000</v>
          </cell>
          <cell r="Z56">
            <v>2500000</v>
          </cell>
          <cell r="AA56">
            <v>2000000</v>
          </cell>
          <cell r="AB56">
            <v>2000000</v>
          </cell>
          <cell r="AC56">
            <v>2000000</v>
          </cell>
        </row>
        <row r="58">
          <cell r="Z58">
            <v>2500000</v>
          </cell>
          <cell r="AB58">
            <v>2000000</v>
          </cell>
        </row>
        <row r="85">
          <cell r="G85">
            <v>14000</v>
          </cell>
          <cell r="Q85">
            <v>16000</v>
          </cell>
          <cell r="Y85">
            <v>17000</v>
          </cell>
          <cell r="Z85">
            <v>18000</v>
          </cell>
          <cell r="AA85">
            <v>19000</v>
          </cell>
          <cell r="AB85">
            <v>20000</v>
          </cell>
          <cell r="AC85">
            <v>21000</v>
          </cell>
        </row>
        <row r="105">
          <cell r="I105">
            <v>233613</v>
          </cell>
          <cell r="L105">
            <v>233613</v>
          </cell>
        </row>
      </sheetData>
      <sheetData sheetId="4">
        <row r="11">
          <cell r="F11">
            <v>107002</v>
          </cell>
          <cell r="G11">
            <v>169637</v>
          </cell>
          <cell r="H11">
            <v>1250378</v>
          </cell>
          <cell r="I11">
            <v>545648</v>
          </cell>
          <cell r="J11">
            <v>56695</v>
          </cell>
          <cell r="K11">
            <v>287451</v>
          </cell>
          <cell r="L11">
            <v>141709</v>
          </cell>
          <cell r="M11">
            <v>82660</v>
          </cell>
          <cell r="N11">
            <v>104515</v>
          </cell>
          <cell r="O11">
            <v>1469108</v>
          </cell>
          <cell r="P11">
            <v>354112</v>
          </cell>
          <cell r="Q11">
            <v>401136</v>
          </cell>
          <cell r="R11">
            <v>379086</v>
          </cell>
        </row>
      </sheetData>
      <sheetData sheetId="7">
        <row r="14">
          <cell r="L14">
            <v>17983356.096</v>
          </cell>
          <cell r="M14">
            <v>18370567.328</v>
          </cell>
          <cell r="N14">
            <v>18826267.36</v>
          </cell>
          <cell r="O14">
            <v>19856187.008</v>
          </cell>
          <cell r="P14">
            <v>20924769.472000003</v>
          </cell>
        </row>
        <row r="17">
          <cell r="I17">
            <v>459492</v>
          </cell>
        </row>
        <row r="32">
          <cell r="I32">
            <v>371900</v>
          </cell>
        </row>
        <row r="33">
          <cell r="I33">
            <v>87592</v>
          </cell>
        </row>
        <row r="43">
          <cell r="I43">
            <v>41000</v>
          </cell>
        </row>
      </sheetData>
      <sheetData sheetId="12">
        <row r="10">
          <cell r="C10">
            <v>200000</v>
          </cell>
        </row>
        <row r="11">
          <cell r="C11">
            <v>74500</v>
          </cell>
        </row>
        <row r="12">
          <cell r="C12">
            <v>2553040</v>
          </cell>
        </row>
        <row r="29">
          <cell r="C29">
            <v>227491</v>
          </cell>
        </row>
        <row r="34">
          <cell r="C34">
            <v>14068</v>
          </cell>
        </row>
        <row r="38">
          <cell r="C38">
            <v>28487</v>
          </cell>
        </row>
        <row r="42">
          <cell r="C42">
            <v>28487</v>
          </cell>
        </row>
        <row r="45">
          <cell r="C45">
            <v>19368</v>
          </cell>
        </row>
        <row r="50">
          <cell r="C50">
            <v>189850</v>
          </cell>
        </row>
        <row r="51">
          <cell r="C51">
            <v>104378</v>
          </cell>
        </row>
        <row r="80">
          <cell r="C80">
            <v>125162</v>
          </cell>
        </row>
        <row r="87">
          <cell r="C87">
            <v>50228</v>
          </cell>
        </row>
        <row r="89">
          <cell r="C89">
            <v>6300</v>
          </cell>
        </row>
        <row r="91">
          <cell r="C91">
            <v>118565</v>
          </cell>
        </row>
        <row r="92">
          <cell r="C92">
            <v>19719</v>
          </cell>
        </row>
      </sheetData>
      <sheetData sheetId="13">
        <row r="18">
          <cell r="C18">
            <v>1258</v>
          </cell>
        </row>
        <row r="19">
          <cell r="C19">
            <v>52692</v>
          </cell>
        </row>
        <row r="20">
          <cell r="C20">
            <v>4351</v>
          </cell>
        </row>
        <row r="21">
          <cell r="C21">
            <v>34689</v>
          </cell>
        </row>
        <row r="22">
          <cell r="C22">
            <v>34250</v>
          </cell>
        </row>
        <row r="23">
          <cell r="C23">
            <v>185000</v>
          </cell>
        </row>
        <row r="25">
          <cell r="C25">
            <v>5460</v>
          </cell>
        </row>
        <row r="26">
          <cell r="C26">
            <v>1910</v>
          </cell>
        </row>
        <row r="27">
          <cell r="C27">
            <v>1006</v>
          </cell>
        </row>
        <row r="28">
          <cell r="C28">
            <v>0</v>
          </cell>
        </row>
        <row r="36">
          <cell r="C36">
            <v>24740</v>
          </cell>
        </row>
        <row r="37">
          <cell r="C37">
            <v>700</v>
          </cell>
        </row>
        <row r="38">
          <cell r="C38">
            <v>105082</v>
          </cell>
        </row>
        <row r="39">
          <cell r="C39">
            <v>20000</v>
          </cell>
        </row>
        <row r="40">
          <cell r="C40">
            <v>9947</v>
          </cell>
        </row>
        <row r="41">
          <cell r="C41">
            <v>3267</v>
          </cell>
        </row>
        <row r="42">
          <cell r="C42">
            <v>7000</v>
          </cell>
        </row>
        <row r="43">
          <cell r="C43">
            <v>14295</v>
          </cell>
        </row>
        <row r="44">
          <cell r="C44">
            <v>700</v>
          </cell>
        </row>
        <row r="45">
          <cell r="C45">
            <v>4320</v>
          </cell>
        </row>
        <row r="47">
          <cell r="C47">
            <v>11599</v>
          </cell>
        </row>
        <row r="48">
          <cell r="C48">
            <v>2472</v>
          </cell>
        </row>
        <row r="49">
          <cell r="C49">
            <v>6350</v>
          </cell>
        </row>
        <row r="50">
          <cell r="C50">
            <v>0</v>
          </cell>
        </row>
        <row r="59">
          <cell r="C59">
            <v>306334</v>
          </cell>
        </row>
        <row r="60">
          <cell r="C60">
            <v>122185</v>
          </cell>
        </row>
      </sheetData>
      <sheetData sheetId="16">
        <row r="11">
          <cell r="E11">
            <v>412378</v>
          </cell>
        </row>
        <row r="33">
          <cell r="G33">
            <v>1004022</v>
          </cell>
          <cell r="H33">
            <v>1000000</v>
          </cell>
        </row>
        <row r="51">
          <cell r="C51">
            <v>41800</v>
          </cell>
          <cell r="D51">
            <v>38023</v>
          </cell>
          <cell r="G51">
            <v>6050</v>
          </cell>
          <cell r="H51">
            <v>46468</v>
          </cell>
        </row>
      </sheetData>
      <sheetData sheetId="26">
        <row r="8">
          <cell r="K8">
            <v>16433</v>
          </cell>
        </row>
      </sheetData>
      <sheetData sheetId="29">
        <row r="11">
          <cell r="C11">
            <v>1557946</v>
          </cell>
        </row>
        <row r="12">
          <cell r="C12">
            <v>26500</v>
          </cell>
        </row>
        <row r="13">
          <cell r="C13">
            <v>60676</v>
          </cell>
        </row>
        <row r="14">
          <cell r="C14">
            <v>166855</v>
          </cell>
        </row>
        <row r="15">
          <cell r="C15">
            <v>16390</v>
          </cell>
        </row>
        <row r="16">
          <cell r="C16">
            <v>6000</v>
          </cell>
        </row>
        <row r="17">
          <cell r="C17">
            <v>3890</v>
          </cell>
        </row>
        <row r="18">
          <cell r="C18">
            <v>260904</v>
          </cell>
        </row>
        <row r="19">
          <cell r="C19">
            <v>4690</v>
          </cell>
        </row>
        <row r="20">
          <cell r="C20">
            <v>19320</v>
          </cell>
        </row>
        <row r="21">
          <cell r="C21">
            <v>232308</v>
          </cell>
        </row>
        <row r="22">
          <cell r="C22">
            <v>19080</v>
          </cell>
        </row>
        <row r="23">
          <cell r="C23">
            <v>159569</v>
          </cell>
        </row>
        <row r="24">
          <cell r="C24">
            <v>14124</v>
          </cell>
        </row>
        <row r="25">
          <cell r="C25">
            <v>68268</v>
          </cell>
        </row>
      </sheetData>
      <sheetData sheetId="30">
        <row r="8">
          <cell r="C8">
            <v>24000</v>
          </cell>
        </row>
        <row r="13">
          <cell r="C13">
            <v>11089</v>
          </cell>
        </row>
        <row r="14">
          <cell r="C14">
            <v>407030</v>
          </cell>
        </row>
        <row r="15">
          <cell r="C15">
            <v>10137</v>
          </cell>
        </row>
        <row r="16">
          <cell r="C16">
            <v>7812</v>
          </cell>
        </row>
        <row r="17">
          <cell r="C17">
            <v>3150</v>
          </cell>
        </row>
        <row r="18">
          <cell r="C18">
            <v>50167</v>
          </cell>
        </row>
        <row r="19">
          <cell r="C19">
            <v>73645</v>
          </cell>
        </row>
        <row r="20">
          <cell r="C20">
            <v>59280</v>
          </cell>
        </row>
        <row r="21">
          <cell r="C21">
            <v>33650</v>
          </cell>
        </row>
        <row r="22">
          <cell r="C22">
            <v>0</v>
          </cell>
        </row>
        <row r="23">
          <cell r="C23">
            <v>9729</v>
          </cell>
        </row>
        <row r="24">
          <cell r="C24">
            <v>3320</v>
          </cell>
        </row>
        <row r="25">
          <cell r="C25">
            <v>16694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69"/>
      <sheetName val="02.69"/>
      <sheetName val="03.69"/>
      <sheetName val="04.69"/>
      <sheetName val="05.69"/>
      <sheetName val="06.69"/>
      <sheetName val="28.342"/>
      <sheetName val="29.342"/>
      <sheetName val="30.342"/>
      <sheetName val="31.342"/>
      <sheetName val="10.31"/>
      <sheetName val="13.16.31"/>
      <sheetName val="35.342"/>
      <sheetName val="35.342.2"/>
      <sheetName val="03.54"/>
      <sheetName val="02.54.18"/>
      <sheetName val="02.54.19"/>
      <sheetName val="BCTL HX"/>
      <sheetName val="BCTL Tinh"/>
    </sheetNames>
    <sheetDataSet>
      <sheetData sheetId="1">
        <row r="59">
          <cell r="E59">
            <v>2300000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48-31"/>
      <sheetName val="50-31"/>
      <sheetName val="51-31"/>
      <sheetName val="52-31"/>
      <sheetName val="53-31"/>
      <sheetName val="54-31"/>
      <sheetName val="58-Huyện"/>
      <sheetName val="58-Xã"/>
      <sheetName val="59"/>
      <sheetName val="60"/>
      <sheetName val="Sheet1"/>
    </sheetNames>
    <sheetDataSet>
      <sheetData sheetId="2">
        <row r="19">
          <cell r="D19">
            <v>7506662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92"/>
  <sheetViews>
    <sheetView tabSelected="1" zoomScalePageLayoutView="0" workbookViewId="0" topLeftCell="A1">
      <selection activeCell="AK8" sqref="AK8"/>
    </sheetView>
  </sheetViews>
  <sheetFormatPr defaultColWidth="9.140625" defaultRowHeight="15"/>
  <cols>
    <col min="1" max="1" width="4.7109375" style="9" customWidth="1"/>
    <col min="2" max="2" width="54.00390625" style="9" customWidth="1"/>
    <col min="3" max="3" width="13.7109375" style="9" hidden="1" customWidth="1"/>
    <col min="4" max="4" width="11.57421875" style="15" hidden="1" customWidth="1"/>
    <col min="5" max="5" width="11.57421875" style="16" hidden="1" customWidth="1"/>
    <col min="6" max="6" width="10.7109375" style="16" hidden="1" customWidth="1"/>
    <col min="7" max="7" width="13.7109375" style="17" hidden="1" customWidth="1"/>
    <col min="8" max="8" width="10.8515625" style="17" hidden="1" customWidth="1"/>
    <col min="9" max="11" width="11.421875" style="17" hidden="1" customWidth="1"/>
    <col min="12" max="12" width="13.00390625" style="17" hidden="1" customWidth="1"/>
    <col min="13" max="14" width="11.00390625" style="17" hidden="1" customWidth="1"/>
    <col min="15" max="15" width="11.8515625" style="17" hidden="1" customWidth="1"/>
    <col min="16" max="16" width="11.7109375" style="15" customWidth="1"/>
    <col min="17" max="18" width="13.8515625" style="15" hidden="1" customWidth="1"/>
    <col min="19" max="19" width="12.140625" style="15" hidden="1" customWidth="1"/>
    <col min="20" max="21" width="12.28125" style="9" hidden="1" customWidth="1"/>
    <col min="22" max="24" width="11.28125" style="9" hidden="1" customWidth="1"/>
    <col min="25" max="25" width="17.57421875" style="9" hidden="1" customWidth="1"/>
    <col min="26" max="26" width="13.00390625" style="9" hidden="1" customWidth="1"/>
    <col min="27" max="27" width="13.8515625" style="9" hidden="1" customWidth="1"/>
    <col min="28" max="28" width="11.28125" style="9" hidden="1" customWidth="1"/>
    <col min="29" max="33" width="10.28125" style="9" hidden="1" customWidth="1"/>
    <col min="34" max="34" width="0" style="9" hidden="1" customWidth="1"/>
    <col min="35" max="35" width="12.8515625" style="9" hidden="1" customWidth="1"/>
    <col min="36" max="36" width="12.8515625" style="14" hidden="1" customWidth="1"/>
    <col min="37" max="37" width="10.57421875" style="15" customWidth="1"/>
    <col min="38" max="39" width="10.28125" style="15" customWidth="1"/>
    <col min="40" max="40" width="11.421875" style="19" hidden="1" customWidth="1"/>
    <col min="41" max="41" width="9.140625" style="9" customWidth="1"/>
    <col min="42" max="42" width="10.140625" style="9" bestFit="1" customWidth="1"/>
    <col min="43" max="16384" width="9.140625" style="9" customWidth="1"/>
  </cols>
  <sheetData>
    <row r="1" spans="1:40" s="2" customFormat="1" ht="15">
      <c r="A1" s="1"/>
      <c r="D1" s="3"/>
      <c r="E1" s="4"/>
      <c r="F1" s="4"/>
      <c r="G1" s="100"/>
      <c r="H1" s="100"/>
      <c r="I1" s="100"/>
      <c r="J1" s="100"/>
      <c r="K1" s="100"/>
      <c r="L1" s="5"/>
      <c r="M1" s="5"/>
      <c r="N1" s="6"/>
      <c r="O1" s="6"/>
      <c r="P1" s="3"/>
      <c r="Q1" s="3"/>
      <c r="R1" s="101" t="s">
        <v>0</v>
      </c>
      <c r="S1" s="101"/>
      <c r="T1" s="101" t="s">
        <v>0</v>
      </c>
      <c r="U1" s="101"/>
      <c r="V1" s="7"/>
      <c r="W1" s="7"/>
      <c r="X1" s="7"/>
      <c r="AJ1" s="8"/>
      <c r="AK1" s="3"/>
      <c r="AL1" s="102" t="s">
        <v>1</v>
      </c>
      <c r="AM1" s="102"/>
      <c r="AN1" s="102"/>
    </row>
    <row r="2" spans="1:40" ht="15">
      <c r="A2" s="103" t="s">
        <v>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row>
    <row r="3" spans="1:40" ht="15">
      <c r="A3" s="93" t="s">
        <v>133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ht="15.75" customHeight="1">
      <c r="A4" s="11"/>
      <c r="B4" s="11"/>
      <c r="C4" s="11"/>
      <c r="D4" s="12"/>
      <c r="E4" s="11"/>
      <c r="F4" s="11"/>
      <c r="G4" s="11"/>
      <c r="H4" s="12"/>
      <c r="I4" s="11"/>
      <c r="J4" s="11"/>
      <c r="K4" s="11"/>
      <c r="L4" s="12"/>
      <c r="M4" s="12"/>
      <c r="N4" s="12"/>
      <c r="O4" s="12"/>
      <c r="P4" s="12"/>
      <c r="Q4" s="12"/>
      <c r="R4" s="93" t="s">
        <v>3</v>
      </c>
      <c r="S4" s="93"/>
      <c r="T4" s="93" t="s">
        <v>3</v>
      </c>
      <c r="U4" s="93"/>
      <c r="V4" s="10"/>
      <c r="W4" s="10"/>
      <c r="X4" s="10"/>
      <c r="Y4" s="13"/>
      <c r="Z4" s="13"/>
      <c r="AL4" s="94" t="s">
        <v>3</v>
      </c>
      <c r="AM4" s="94"/>
      <c r="AN4" s="94"/>
    </row>
    <row r="5" spans="4:26" ht="15" customHeight="1" hidden="1">
      <c r="D5" s="16"/>
      <c r="K5" s="5" t="s">
        <v>3</v>
      </c>
      <c r="P5" s="95"/>
      <c r="Q5" s="95"/>
      <c r="R5" s="95"/>
      <c r="S5" s="95"/>
      <c r="T5" s="95"/>
      <c r="U5" s="18"/>
      <c r="V5" s="18"/>
      <c r="W5" s="18"/>
      <c r="X5" s="18"/>
      <c r="Z5" s="15"/>
    </row>
    <row r="6" spans="1:40" s="25" customFormat="1" ht="21.75" customHeight="1">
      <c r="A6" s="88" t="s">
        <v>4</v>
      </c>
      <c r="B6" s="88" t="s">
        <v>5</v>
      </c>
      <c r="C6" s="20" t="s">
        <v>6</v>
      </c>
      <c r="D6" s="97" t="s">
        <v>7</v>
      </c>
      <c r="E6" s="97"/>
      <c r="F6" s="21">
        <v>43281</v>
      </c>
      <c r="G6" s="98" t="s">
        <v>8</v>
      </c>
      <c r="H6" s="98"/>
      <c r="I6" s="98"/>
      <c r="J6" s="98"/>
      <c r="K6" s="98"/>
      <c r="L6" s="98"/>
      <c r="M6" s="22"/>
      <c r="N6" s="22"/>
      <c r="O6" s="98" t="s">
        <v>9</v>
      </c>
      <c r="P6" s="88" t="s">
        <v>10</v>
      </c>
      <c r="Q6" s="88"/>
      <c r="R6" s="88"/>
      <c r="S6" s="88"/>
      <c r="T6" s="20" t="s">
        <v>11</v>
      </c>
      <c r="U6" s="20" t="s">
        <v>12</v>
      </c>
      <c r="V6" s="20" t="s">
        <v>13</v>
      </c>
      <c r="W6" s="20" t="s">
        <v>14</v>
      </c>
      <c r="X6" s="20" t="s">
        <v>15</v>
      </c>
      <c r="Y6" s="88" t="s">
        <v>16</v>
      </c>
      <c r="Z6" s="88"/>
      <c r="AA6" s="88"/>
      <c r="AB6" s="88"/>
      <c r="AC6" s="23"/>
      <c r="AD6" s="23"/>
      <c r="AE6" s="23"/>
      <c r="AF6" s="23"/>
      <c r="AG6" s="23"/>
      <c r="AH6" s="23"/>
      <c r="AI6" s="23"/>
      <c r="AJ6" s="24"/>
      <c r="AK6" s="89" t="s">
        <v>17</v>
      </c>
      <c r="AL6" s="89" t="s">
        <v>18</v>
      </c>
      <c r="AM6" s="89"/>
      <c r="AN6" s="91" t="s">
        <v>19</v>
      </c>
    </row>
    <row r="7" spans="1:40" s="25" customFormat="1" ht="28.5" customHeight="1">
      <c r="A7" s="96"/>
      <c r="B7" s="96"/>
      <c r="C7" s="26"/>
      <c r="D7" s="27"/>
      <c r="E7" s="27"/>
      <c r="F7" s="27"/>
      <c r="G7" s="28"/>
      <c r="H7" s="28"/>
      <c r="I7" s="28"/>
      <c r="J7" s="28"/>
      <c r="K7" s="28"/>
      <c r="L7" s="28"/>
      <c r="M7" s="28"/>
      <c r="N7" s="28"/>
      <c r="O7" s="99"/>
      <c r="P7" s="96"/>
      <c r="Q7" s="96"/>
      <c r="R7" s="96"/>
      <c r="S7" s="96"/>
      <c r="T7" s="26"/>
      <c r="U7" s="26"/>
      <c r="V7" s="26"/>
      <c r="W7" s="26"/>
      <c r="X7" s="26"/>
      <c r="Y7" s="26"/>
      <c r="Z7" s="26"/>
      <c r="AA7" s="26"/>
      <c r="AB7" s="26"/>
      <c r="AC7" s="29"/>
      <c r="AD7" s="29"/>
      <c r="AE7" s="29"/>
      <c r="AF7" s="29"/>
      <c r="AG7" s="29"/>
      <c r="AH7" s="29"/>
      <c r="AI7" s="29"/>
      <c r="AJ7" s="30"/>
      <c r="AK7" s="90"/>
      <c r="AL7" s="31" t="s">
        <v>20</v>
      </c>
      <c r="AM7" s="31" t="s">
        <v>21</v>
      </c>
      <c r="AN7" s="92"/>
    </row>
    <row r="8" spans="1:40" s="7" customFormat="1" ht="15">
      <c r="A8" s="32">
        <v>1</v>
      </c>
      <c r="B8" s="32">
        <v>2</v>
      </c>
      <c r="C8" s="32"/>
      <c r="D8" s="32">
        <v>3</v>
      </c>
      <c r="E8" s="33">
        <v>4</v>
      </c>
      <c r="F8" s="33">
        <v>3</v>
      </c>
      <c r="G8" s="34">
        <v>3</v>
      </c>
      <c r="H8" s="34">
        <v>6</v>
      </c>
      <c r="I8" s="34">
        <v>3</v>
      </c>
      <c r="J8" s="34">
        <v>4</v>
      </c>
      <c r="K8" s="34">
        <v>5</v>
      </c>
      <c r="L8" s="34">
        <v>4</v>
      </c>
      <c r="M8" s="34">
        <f>19082341+459492+41000</f>
        <v>19582833</v>
      </c>
      <c r="N8" s="34"/>
      <c r="O8" s="34">
        <v>1</v>
      </c>
      <c r="P8" s="35">
        <v>3</v>
      </c>
      <c r="Q8" s="35">
        <v>6</v>
      </c>
      <c r="R8" s="35">
        <v>7</v>
      </c>
      <c r="S8" s="35">
        <v>8</v>
      </c>
      <c r="T8" s="35">
        <v>9</v>
      </c>
      <c r="U8" s="35">
        <v>10</v>
      </c>
      <c r="V8" s="35">
        <v>11</v>
      </c>
      <c r="W8" s="35">
        <v>12</v>
      </c>
      <c r="X8" s="35">
        <v>13</v>
      </c>
      <c r="Y8" s="35"/>
      <c r="Z8" s="36"/>
      <c r="AA8" s="36"/>
      <c r="AB8" s="36"/>
      <c r="AC8" s="36"/>
      <c r="AD8" s="36"/>
      <c r="AE8" s="36"/>
      <c r="AF8" s="36"/>
      <c r="AG8" s="36"/>
      <c r="AH8" s="36"/>
      <c r="AI8" s="36"/>
      <c r="AJ8" s="37"/>
      <c r="AK8" s="35">
        <v>4</v>
      </c>
      <c r="AL8" s="35">
        <v>5</v>
      </c>
      <c r="AM8" s="35">
        <v>6</v>
      </c>
      <c r="AN8" s="38">
        <v>7</v>
      </c>
    </row>
    <row r="9" spans="1:40" ht="15" hidden="1">
      <c r="A9" s="32"/>
      <c r="B9" s="32" t="s">
        <v>22</v>
      </c>
      <c r="C9" s="32"/>
      <c r="D9" s="32"/>
      <c r="E9" s="33"/>
      <c r="F9" s="33"/>
      <c r="G9" s="34"/>
      <c r="H9" s="34"/>
      <c r="I9" s="34"/>
      <c r="J9" s="34"/>
      <c r="K9" s="34"/>
      <c r="L9" s="34"/>
      <c r="M9" s="34">
        <f aca="true" t="shared" si="0" ref="M9:S9">M10+M70</f>
        <v>19582833</v>
      </c>
      <c r="N9" s="34">
        <f t="shared" si="0"/>
        <v>19582833</v>
      </c>
      <c r="O9" s="34"/>
      <c r="P9" s="35">
        <f t="shared" si="0"/>
        <v>19375473</v>
      </c>
      <c r="Q9" s="35">
        <f t="shared" si="0"/>
        <v>11386974</v>
      </c>
      <c r="R9" s="35">
        <f t="shared" si="0"/>
        <v>6938401</v>
      </c>
      <c r="S9" s="35">
        <f t="shared" si="0"/>
        <v>1050098</v>
      </c>
      <c r="T9" s="35"/>
      <c r="U9" s="35"/>
      <c r="V9" s="35"/>
      <c r="W9" s="35"/>
      <c r="X9" s="35"/>
      <c r="Y9" s="39"/>
      <c r="Z9" s="40"/>
      <c r="AA9" s="40"/>
      <c r="AB9" s="40"/>
      <c r="AC9" s="40"/>
      <c r="AD9" s="40"/>
      <c r="AE9" s="40"/>
      <c r="AF9" s="40"/>
      <c r="AG9" s="40"/>
      <c r="AH9" s="40"/>
      <c r="AI9" s="40"/>
      <c r="AJ9" s="41"/>
      <c r="AK9" s="39"/>
      <c r="AL9" s="39"/>
      <c r="AM9" s="39"/>
      <c r="AN9" s="42"/>
    </row>
    <row r="10" spans="1:42" s="25" customFormat="1" ht="28.5">
      <c r="A10" s="26" t="s">
        <v>23</v>
      </c>
      <c r="B10" s="43" t="s">
        <v>24</v>
      </c>
      <c r="C10" s="44">
        <f>C11+C64+C69</f>
        <v>17360763</v>
      </c>
      <c r="D10" s="44">
        <f>D11+D64+D69</f>
        <v>15009325.207692308</v>
      </c>
      <c r="E10" s="44">
        <f>E11+E64+E68+E69</f>
        <v>22110007</v>
      </c>
      <c r="F10" s="44">
        <f aca="true" t="shared" si="1" ref="F10:AK10">F11+F64+F69</f>
        <v>7866700</v>
      </c>
      <c r="G10" s="45">
        <f t="shared" si="1"/>
        <v>17720186</v>
      </c>
      <c r="H10" s="45">
        <f t="shared" si="1"/>
        <v>13915034</v>
      </c>
      <c r="I10" s="45">
        <f t="shared" si="1"/>
        <v>11325434</v>
      </c>
      <c r="J10" s="45">
        <f t="shared" si="1"/>
        <v>5298743</v>
      </c>
      <c r="K10" s="45">
        <f t="shared" si="1"/>
        <v>1096009</v>
      </c>
      <c r="L10" s="45">
        <f t="shared" si="1"/>
        <v>26314819</v>
      </c>
      <c r="M10" s="45">
        <f t="shared" si="1"/>
        <v>19355433</v>
      </c>
      <c r="N10" s="45">
        <f t="shared" si="1"/>
        <v>19375473</v>
      </c>
      <c r="O10" s="44">
        <f t="shared" si="1"/>
        <v>8571702</v>
      </c>
      <c r="P10" s="44">
        <f t="shared" si="1"/>
        <v>19375473</v>
      </c>
      <c r="Q10" s="44">
        <f t="shared" si="1"/>
        <v>11386974</v>
      </c>
      <c r="R10" s="44">
        <f t="shared" si="1"/>
        <v>6938401</v>
      </c>
      <c r="S10" s="44">
        <f t="shared" si="1"/>
        <v>1050098</v>
      </c>
      <c r="T10" s="44">
        <f t="shared" si="1"/>
        <v>17983356</v>
      </c>
      <c r="U10" s="44">
        <f t="shared" si="1"/>
        <v>18370567.616</v>
      </c>
      <c r="V10" s="44">
        <f t="shared" si="1"/>
        <v>18826267.512</v>
      </c>
      <c r="W10" s="44">
        <f t="shared" si="1"/>
        <v>19856186.963600002</v>
      </c>
      <c r="X10" s="44">
        <f t="shared" si="1"/>
        <v>20924769.248251997</v>
      </c>
      <c r="Y10" s="44">
        <f t="shared" si="1"/>
        <v>1614287</v>
      </c>
      <c r="Z10" s="44">
        <f t="shared" si="1"/>
        <v>20540</v>
      </c>
      <c r="AA10" s="44">
        <f t="shared" si="1"/>
        <v>1639658</v>
      </c>
      <c r="AB10" s="44">
        <f t="shared" si="1"/>
        <v>-45911</v>
      </c>
      <c r="AC10" s="44">
        <f t="shared" si="1"/>
        <v>0</v>
      </c>
      <c r="AD10" s="44">
        <f t="shared" si="1"/>
        <v>3816633</v>
      </c>
      <c r="AE10" s="44">
        <f t="shared" si="1"/>
        <v>762652</v>
      </c>
      <c r="AF10" s="44">
        <f t="shared" si="1"/>
        <v>0</v>
      </c>
      <c r="AG10" s="44">
        <f t="shared" si="1"/>
        <v>0</v>
      </c>
      <c r="AH10" s="44">
        <f t="shared" si="1"/>
        <v>0</v>
      </c>
      <c r="AI10" s="44">
        <f t="shared" si="1"/>
        <v>0</v>
      </c>
      <c r="AJ10" s="44">
        <f t="shared" si="1"/>
        <v>0</v>
      </c>
      <c r="AK10" s="44">
        <f t="shared" si="1"/>
        <v>9577509</v>
      </c>
      <c r="AL10" s="46">
        <f>AK10/P10</f>
        <v>0.49431097759523085</v>
      </c>
      <c r="AM10" s="46">
        <f>AK10/O10</f>
        <v>1.1173404068410218</v>
      </c>
      <c r="AN10" s="47">
        <f>AN11+AN64+AN69</f>
        <v>19514870.85</v>
      </c>
      <c r="AP10" s="48"/>
    </row>
    <row r="11" spans="1:40" s="25" customFormat="1" ht="14.25">
      <c r="A11" s="26" t="s">
        <v>25</v>
      </c>
      <c r="B11" s="43" t="s">
        <v>26</v>
      </c>
      <c r="C11" s="49">
        <f>C13+C44+C58+C59+C60+C61</f>
        <v>12892352</v>
      </c>
      <c r="D11" s="49">
        <f>D13+D44+D58+D59+D60+D61</f>
        <v>14569364.207692308</v>
      </c>
      <c r="E11" s="49">
        <f>E13+E44+E58+E59+E60+E61+E68+E63</f>
        <v>16826721</v>
      </c>
      <c r="F11" s="49">
        <f aca="true" t="shared" si="2" ref="F11:AK11">F13+F44+F58+F59+F60+F61</f>
        <v>7666700</v>
      </c>
      <c r="G11" s="45">
        <f t="shared" si="2"/>
        <v>17486573</v>
      </c>
      <c r="H11" s="45">
        <f t="shared" si="2"/>
        <v>13915034</v>
      </c>
      <c r="I11" s="45">
        <f t="shared" si="2"/>
        <v>11091821</v>
      </c>
      <c r="J11" s="45">
        <f t="shared" si="2"/>
        <v>5298743</v>
      </c>
      <c r="K11" s="45">
        <f t="shared" si="2"/>
        <v>1096009</v>
      </c>
      <c r="L11" s="45">
        <f t="shared" si="2"/>
        <v>19842618</v>
      </c>
      <c r="M11" s="45">
        <f t="shared" si="2"/>
        <v>18895941</v>
      </c>
      <c r="N11" s="45">
        <f t="shared" si="2"/>
        <v>18915981</v>
      </c>
      <c r="O11" s="44">
        <f t="shared" si="2"/>
        <v>8571702</v>
      </c>
      <c r="P11" s="44">
        <f t="shared" si="2"/>
        <v>18915981</v>
      </c>
      <c r="Q11" s="44">
        <f t="shared" si="2"/>
        <v>10931449</v>
      </c>
      <c r="R11" s="44">
        <f t="shared" si="2"/>
        <v>6934434</v>
      </c>
      <c r="S11" s="44">
        <f t="shared" si="2"/>
        <v>1050098</v>
      </c>
      <c r="T11" s="44">
        <f t="shared" si="2"/>
        <v>17983356</v>
      </c>
      <c r="U11" s="44">
        <f t="shared" si="2"/>
        <v>18370567.616</v>
      </c>
      <c r="V11" s="44">
        <f t="shared" si="2"/>
        <v>18826267.512</v>
      </c>
      <c r="W11" s="44">
        <f t="shared" si="2"/>
        <v>19856186.963600002</v>
      </c>
      <c r="X11" s="44">
        <f t="shared" si="2"/>
        <v>20924769.248251997</v>
      </c>
      <c r="Y11" s="44">
        <f t="shared" si="2"/>
        <v>1388408</v>
      </c>
      <c r="Z11" s="44">
        <f t="shared" si="2"/>
        <v>-201372</v>
      </c>
      <c r="AA11" s="44">
        <f t="shared" si="2"/>
        <v>1635691</v>
      </c>
      <c r="AB11" s="44">
        <f t="shared" si="2"/>
        <v>-45911</v>
      </c>
      <c r="AC11" s="44">
        <f t="shared" si="2"/>
        <v>0</v>
      </c>
      <c r="AD11" s="44">
        <f t="shared" si="2"/>
        <v>3816633</v>
      </c>
      <c r="AE11" s="44">
        <f t="shared" si="2"/>
        <v>762652</v>
      </c>
      <c r="AF11" s="44">
        <f t="shared" si="2"/>
        <v>0</v>
      </c>
      <c r="AG11" s="44">
        <f t="shared" si="2"/>
        <v>0</v>
      </c>
      <c r="AH11" s="44">
        <f t="shared" si="2"/>
        <v>0</v>
      </c>
      <c r="AI11" s="44">
        <f t="shared" si="2"/>
        <v>0</v>
      </c>
      <c r="AJ11" s="44">
        <f t="shared" si="2"/>
        <v>0</v>
      </c>
      <c r="AK11" s="44">
        <f t="shared" si="2"/>
        <v>9577509</v>
      </c>
      <c r="AL11" s="46">
        <f aca="true" t="shared" si="3" ref="AL11:AL68">AK11/P11</f>
        <v>0.5063183876109836</v>
      </c>
      <c r="AM11" s="46">
        <f aca="true" t="shared" si="4" ref="AM11:AM58">AK11/O11</f>
        <v>1.1173404068410218</v>
      </c>
      <c r="AN11" s="47">
        <f>AN13+AN44+AN58+AN59+AN60+AN61</f>
        <v>19055378.85</v>
      </c>
    </row>
    <row r="12" spans="1:40" ht="45" hidden="1">
      <c r="A12" s="32"/>
      <c r="B12" s="50" t="s">
        <v>27</v>
      </c>
      <c r="C12" s="50"/>
      <c r="D12" s="50"/>
      <c r="E12" s="51"/>
      <c r="F12" s="51"/>
      <c r="G12" s="52"/>
      <c r="H12" s="52"/>
      <c r="I12" s="52"/>
      <c r="J12" s="52"/>
      <c r="K12" s="52"/>
      <c r="L12" s="52"/>
      <c r="M12" s="52"/>
      <c r="N12" s="52"/>
      <c r="O12" s="53"/>
      <c r="P12" s="53"/>
      <c r="Q12" s="53"/>
      <c r="R12" s="53"/>
      <c r="S12" s="53"/>
      <c r="T12" s="53"/>
      <c r="U12" s="53"/>
      <c r="V12" s="53"/>
      <c r="W12" s="53"/>
      <c r="X12" s="53"/>
      <c r="Y12" s="53"/>
      <c r="Z12" s="53"/>
      <c r="AA12" s="53"/>
      <c r="AB12" s="53"/>
      <c r="AC12" s="53"/>
      <c r="AD12" s="53"/>
      <c r="AE12" s="53"/>
      <c r="AF12" s="53"/>
      <c r="AG12" s="53"/>
      <c r="AH12" s="53"/>
      <c r="AI12" s="53"/>
      <c r="AJ12" s="53"/>
      <c r="AK12" s="53"/>
      <c r="AL12" s="46" t="e">
        <f t="shared" si="3"/>
        <v>#DIV/0!</v>
      </c>
      <c r="AM12" s="46" t="e">
        <f t="shared" si="4"/>
        <v>#DIV/0!</v>
      </c>
      <c r="AN12" s="54"/>
    </row>
    <row r="13" spans="1:40" s="25" customFormat="1" ht="14.25">
      <c r="A13" s="26">
        <v>1</v>
      </c>
      <c r="B13" s="43" t="s">
        <v>28</v>
      </c>
      <c r="C13" s="43">
        <v>5859327</v>
      </c>
      <c r="D13" s="44">
        <v>4364574</v>
      </c>
      <c r="E13" s="49">
        <f>E17</f>
        <v>9210209</v>
      </c>
      <c r="F13" s="49">
        <v>3493468</v>
      </c>
      <c r="G13" s="45">
        <f>G14+G15</f>
        <v>5609869</v>
      </c>
      <c r="H13" s="45">
        <v>7881409</v>
      </c>
      <c r="I13" s="45">
        <f>I14+I15</f>
        <v>3750880</v>
      </c>
      <c r="J13" s="45">
        <f>J14+J15</f>
        <v>1586120</v>
      </c>
      <c r="K13" s="45">
        <f>K14+K15</f>
        <v>272869</v>
      </c>
      <c r="L13" s="45">
        <f>L17</f>
        <v>11433553</v>
      </c>
      <c r="M13" s="45">
        <f>M17</f>
        <v>5559600</v>
      </c>
      <c r="N13" s="45">
        <f>N17</f>
        <v>5779302</v>
      </c>
      <c r="O13" s="44">
        <f>O14+O15</f>
        <v>4701000</v>
      </c>
      <c r="P13" s="44">
        <f>P14+P15</f>
        <v>5779302</v>
      </c>
      <c r="Q13" s="44">
        <f aca="true" t="shared" si="5" ref="Q13:AK13">Q14+Q15</f>
        <v>2802600</v>
      </c>
      <c r="R13" s="44">
        <f t="shared" si="5"/>
        <v>2827540</v>
      </c>
      <c r="S13" s="44">
        <f t="shared" si="5"/>
        <v>149162</v>
      </c>
      <c r="T13" s="44">
        <f t="shared" si="5"/>
        <v>5567000</v>
      </c>
      <c r="U13" s="44">
        <f t="shared" si="5"/>
        <v>5246500</v>
      </c>
      <c r="V13" s="44">
        <f t="shared" si="5"/>
        <v>4938495</v>
      </c>
      <c r="W13" s="44">
        <f t="shared" si="5"/>
        <v>5143859.65</v>
      </c>
      <c r="X13" s="44">
        <f t="shared" si="5"/>
        <v>5363529.8255</v>
      </c>
      <c r="Y13" s="44">
        <f t="shared" si="5"/>
        <v>128433</v>
      </c>
      <c r="Z13" s="44">
        <f t="shared" si="5"/>
        <v>-989280</v>
      </c>
      <c r="AA13" s="44">
        <f t="shared" si="5"/>
        <v>1241420</v>
      </c>
      <c r="AB13" s="44">
        <f t="shared" si="5"/>
        <v>-123707</v>
      </c>
      <c r="AC13" s="44">
        <f t="shared" si="5"/>
        <v>0</v>
      </c>
      <c r="AD13" s="44">
        <f t="shared" si="5"/>
        <v>0</v>
      </c>
      <c r="AE13" s="44">
        <f t="shared" si="5"/>
        <v>0</v>
      </c>
      <c r="AF13" s="44">
        <f t="shared" si="5"/>
        <v>0</v>
      </c>
      <c r="AG13" s="44">
        <f t="shared" si="5"/>
        <v>0</v>
      </c>
      <c r="AH13" s="44">
        <f t="shared" si="5"/>
        <v>0</v>
      </c>
      <c r="AI13" s="44">
        <f t="shared" si="5"/>
        <v>0</v>
      </c>
      <c r="AJ13" s="44">
        <f t="shared" si="5"/>
        <v>0</v>
      </c>
      <c r="AK13" s="44">
        <f t="shared" si="5"/>
        <v>5985000</v>
      </c>
      <c r="AL13" s="46">
        <f t="shared" si="3"/>
        <v>1.0355921874302467</v>
      </c>
      <c r="AM13" s="46">
        <f t="shared" si="4"/>
        <v>1.2731333758774728</v>
      </c>
      <c r="AN13" s="47">
        <v>9900000</v>
      </c>
    </row>
    <row r="14" spans="1:40" s="25" customFormat="1" ht="63" customHeight="1" hidden="1">
      <c r="A14" s="26">
        <v>1</v>
      </c>
      <c r="B14" s="43" t="s">
        <v>29</v>
      </c>
      <c r="C14" s="43"/>
      <c r="D14" s="43"/>
      <c r="E14" s="55"/>
      <c r="F14" s="55"/>
      <c r="G14" s="45"/>
      <c r="H14" s="45"/>
      <c r="I14" s="45"/>
      <c r="J14" s="45"/>
      <c r="K14" s="45"/>
      <c r="L14" s="45"/>
      <c r="M14" s="45"/>
      <c r="N14" s="45"/>
      <c r="O14" s="56"/>
      <c r="P14" s="56"/>
      <c r="Q14" s="56"/>
      <c r="R14" s="56"/>
      <c r="S14" s="56"/>
      <c r="T14" s="56"/>
      <c r="U14" s="56"/>
      <c r="V14" s="56"/>
      <c r="W14" s="56"/>
      <c r="X14" s="56"/>
      <c r="Y14" s="56"/>
      <c r="Z14" s="56"/>
      <c r="AA14" s="56"/>
      <c r="AB14" s="56"/>
      <c r="AC14" s="56"/>
      <c r="AD14" s="56"/>
      <c r="AE14" s="56"/>
      <c r="AF14" s="56"/>
      <c r="AG14" s="56"/>
      <c r="AH14" s="56"/>
      <c r="AI14" s="56"/>
      <c r="AJ14" s="56"/>
      <c r="AK14" s="56"/>
      <c r="AL14" s="46" t="e">
        <f t="shared" si="3"/>
        <v>#DIV/0!</v>
      </c>
      <c r="AM14" s="46" t="e">
        <f t="shared" si="4"/>
        <v>#DIV/0!</v>
      </c>
      <c r="AN14" s="47"/>
    </row>
    <row r="15" spans="1:40" s="25" customFormat="1" ht="15.75" hidden="1">
      <c r="A15" s="26" t="s">
        <v>30</v>
      </c>
      <c r="B15" s="57" t="s">
        <v>31</v>
      </c>
      <c r="C15" s="43"/>
      <c r="D15" s="44">
        <f>D17</f>
        <v>4364574</v>
      </c>
      <c r="E15" s="44">
        <f>E17</f>
        <v>9210209</v>
      </c>
      <c r="F15" s="44"/>
      <c r="G15" s="45">
        <f aca="true" t="shared" si="6" ref="G15:L15">G17</f>
        <v>5609869</v>
      </c>
      <c r="H15" s="45">
        <f t="shared" si="6"/>
        <v>7881409</v>
      </c>
      <c r="I15" s="45">
        <f t="shared" si="6"/>
        <v>3750880</v>
      </c>
      <c r="J15" s="45">
        <f t="shared" si="6"/>
        <v>1586120</v>
      </c>
      <c r="K15" s="45">
        <f t="shared" si="6"/>
        <v>272869</v>
      </c>
      <c r="L15" s="45">
        <f t="shared" si="6"/>
        <v>11433553</v>
      </c>
      <c r="M15" s="45"/>
      <c r="N15" s="45"/>
      <c r="O15" s="44">
        <f>O17</f>
        <v>4701000</v>
      </c>
      <c r="P15" s="44">
        <f>P17</f>
        <v>5779302</v>
      </c>
      <c r="Q15" s="44">
        <f aca="true" t="shared" si="7" ref="Q15:AK15">Q17</f>
        <v>2802600</v>
      </c>
      <c r="R15" s="44">
        <f t="shared" si="7"/>
        <v>2827540</v>
      </c>
      <c r="S15" s="44">
        <f t="shared" si="7"/>
        <v>149162</v>
      </c>
      <c r="T15" s="44">
        <f t="shared" si="7"/>
        <v>5567000</v>
      </c>
      <c r="U15" s="44">
        <f t="shared" si="7"/>
        <v>5246500</v>
      </c>
      <c r="V15" s="44">
        <f t="shared" si="7"/>
        <v>4938495</v>
      </c>
      <c r="W15" s="44">
        <f t="shared" si="7"/>
        <v>5143859.65</v>
      </c>
      <c r="X15" s="44">
        <f t="shared" si="7"/>
        <v>5363529.8255</v>
      </c>
      <c r="Y15" s="44">
        <f t="shared" si="7"/>
        <v>128433</v>
      </c>
      <c r="Z15" s="44">
        <f t="shared" si="7"/>
        <v>-989280</v>
      </c>
      <c r="AA15" s="44">
        <f t="shared" si="7"/>
        <v>1241420</v>
      </c>
      <c r="AB15" s="44">
        <f t="shared" si="7"/>
        <v>-123707</v>
      </c>
      <c r="AC15" s="44">
        <f t="shared" si="7"/>
        <v>0</v>
      </c>
      <c r="AD15" s="44">
        <f t="shared" si="7"/>
        <v>0</v>
      </c>
      <c r="AE15" s="44">
        <f t="shared" si="7"/>
        <v>0</v>
      </c>
      <c r="AF15" s="44">
        <f t="shared" si="7"/>
        <v>0</v>
      </c>
      <c r="AG15" s="44">
        <f t="shared" si="7"/>
        <v>0</v>
      </c>
      <c r="AH15" s="44">
        <f t="shared" si="7"/>
        <v>0</v>
      </c>
      <c r="AI15" s="44">
        <f t="shared" si="7"/>
        <v>0</v>
      </c>
      <c r="AJ15" s="44">
        <f t="shared" si="7"/>
        <v>0</v>
      </c>
      <c r="AK15" s="44">
        <f t="shared" si="7"/>
        <v>5985000</v>
      </c>
      <c r="AL15" s="46">
        <f t="shared" si="3"/>
        <v>1.0355921874302467</v>
      </c>
      <c r="AM15" s="46">
        <f t="shared" si="4"/>
        <v>1.2731333758774728</v>
      </c>
      <c r="AN15" s="47">
        <f>AN17</f>
        <v>9636823</v>
      </c>
    </row>
    <row r="16" spans="1:40" ht="15" hidden="1">
      <c r="A16" s="32"/>
      <c r="B16" s="58" t="s">
        <v>32</v>
      </c>
      <c r="C16" s="58"/>
      <c r="D16" s="58"/>
      <c r="E16" s="59"/>
      <c r="F16" s="59"/>
      <c r="G16" s="52"/>
      <c r="H16" s="52"/>
      <c r="I16" s="52"/>
      <c r="J16" s="52"/>
      <c r="K16" s="52"/>
      <c r="L16" s="52"/>
      <c r="M16" s="52"/>
      <c r="N16" s="52"/>
      <c r="O16" s="39"/>
      <c r="P16" s="39"/>
      <c r="Q16" s="39"/>
      <c r="R16" s="39"/>
      <c r="S16" s="39"/>
      <c r="T16" s="39"/>
      <c r="U16" s="39"/>
      <c r="V16" s="39"/>
      <c r="W16" s="39"/>
      <c r="X16" s="39"/>
      <c r="Y16" s="39"/>
      <c r="Z16" s="39"/>
      <c r="AA16" s="39"/>
      <c r="AB16" s="39"/>
      <c r="AC16" s="39"/>
      <c r="AD16" s="39"/>
      <c r="AE16" s="39"/>
      <c r="AF16" s="39"/>
      <c r="AG16" s="39"/>
      <c r="AH16" s="39"/>
      <c r="AI16" s="39"/>
      <c r="AJ16" s="39"/>
      <c r="AK16" s="39"/>
      <c r="AL16" s="46"/>
      <c r="AM16" s="46"/>
      <c r="AN16" s="54"/>
    </row>
    <row r="17" spans="1:40" s="25" customFormat="1" ht="28.5" hidden="1">
      <c r="A17" s="26">
        <v>1</v>
      </c>
      <c r="B17" s="43" t="s">
        <v>33</v>
      </c>
      <c r="C17" s="43"/>
      <c r="D17" s="44">
        <f>D21+D22+D23+D24+D25+D27</f>
        <v>4364574</v>
      </c>
      <c r="E17" s="49">
        <f>8996193+214016</f>
        <v>9210209</v>
      </c>
      <c r="F17" s="49"/>
      <c r="G17" s="45">
        <f>G21+G22+G23+G24+G25+G27</f>
        <v>5609869</v>
      </c>
      <c r="H17" s="45">
        <f>H13</f>
        <v>7881409</v>
      </c>
      <c r="I17" s="45">
        <f>SUM(I21:I27)</f>
        <v>3750880</v>
      </c>
      <c r="J17" s="45">
        <f>SUM(J21:J27)</f>
        <v>1586120</v>
      </c>
      <c r="K17" s="45">
        <f>SUM(K21:K27)</f>
        <v>272869</v>
      </c>
      <c r="L17" s="45">
        <f>11563823-130270</f>
        <v>11433553</v>
      </c>
      <c r="M17" s="45">
        <f>M21+M22+M23+M24+M25+M27</f>
        <v>5559600</v>
      </c>
      <c r="N17" s="45">
        <f>N21+N22+N23+N24+N25+N27+N26</f>
        <v>5779302</v>
      </c>
      <c r="O17" s="45">
        <v>4701000</v>
      </c>
      <c r="P17" s="45">
        <f>P21+P22+P23+P24+P25+P27+P26</f>
        <v>5779302</v>
      </c>
      <c r="Q17" s="45">
        <f aca="true" t="shared" si="8" ref="Q17:AJ17">Q21+Q22+Q23+Q24+Q25+Q27+Q26</f>
        <v>2802600</v>
      </c>
      <c r="R17" s="45">
        <f t="shared" si="8"/>
        <v>2827540</v>
      </c>
      <c r="S17" s="45">
        <f t="shared" si="8"/>
        <v>149162</v>
      </c>
      <c r="T17" s="45">
        <f t="shared" si="8"/>
        <v>5567000</v>
      </c>
      <c r="U17" s="45">
        <f t="shared" si="8"/>
        <v>5246500</v>
      </c>
      <c r="V17" s="45">
        <f t="shared" si="8"/>
        <v>4938495</v>
      </c>
      <c r="W17" s="45">
        <f t="shared" si="8"/>
        <v>5143859.65</v>
      </c>
      <c r="X17" s="45">
        <f t="shared" si="8"/>
        <v>5363529.8255</v>
      </c>
      <c r="Y17" s="45">
        <f t="shared" si="8"/>
        <v>128433</v>
      </c>
      <c r="Z17" s="45">
        <f t="shared" si="8"/>
        <v>-989280</v>
      </c>
      <c r="AA17" s="45">
        <f t="shared" si="8"/>
        <v>1241420</v>
      </c>
      <c r="AB17" s="45">
        <f t="shared" si="8"/>
        <v>-123707</v>
      </c>
      <c r="AC17" s="45">
        <f t="shared" si="8"/>
        <v>0</v>
      </c>
      <c r="AD17" s="45">
        <f t="shared" si="8"/>
        <v>0</v>
      </c>
      <c r="AE17" s="45">
        <f t="shared" si="8"/>
        <v>0</v>
      </c>
      <c r="AF17" s="45">
        <f t="shared" si="8"/>
        <v>0</v>
      </c>
      <c r="AG17" s="45">
        <f t="shared" si="8"/>
        <v>0</v>
      </c>
      <c r="AH17" s="45">
        <f t="shared" si="8"/>
        <v>0</v>
      </c>
      <c r="AI17" s="45">
        <f t="shared" si="8"/>
        <v>0</v>
      </c>
      <c r="AJ17" s="45">
        <f t="shared" si="8"/>
        <v>0</v>
      </c>
      <c r="AK17" s="45">
        <v>5985000</v>
      </c>
      <c r="AL17" s="46">
        <f t="shared" si="3"/>
        <v>1.0355921874302467</v>
      </c>
      <c r="AM17" s="46">
        <f t="shared" si="4"/>
        <v>1.2731333758774728</v>
      </c>
      <c r="AN17" s="47">
        <f>P17+800000+1557521+1500000</f>
        <v>9636823</v>
      </c>
    </row>
    <row r="18" spans="1:40" s="25" customFormat="1" ht="15" hidden="1">
      <c r="A18" s="26" t="s">
        <v>34</v>
      </c>
      <c r="B18" s="60" t="s">
        <v>35</v>
      </c>
      <c r="C18" s="43"/>
      <c r="D18" s="44"/>
      <c r="E18" s="49"/>
      <c r="F18" s="49"/>
      <c r="G18" s="45"/>
      <c r="H18" s="45"/>
      <c r="I18" s="45"/>
      <c r="J18" s="45"/>
      <c r="K18" s="45"/>
      <c r="L18" s="45"/>
      <c r="M18" s="45"/>
      <c r="N18" s="45"/>
      <c r="O18" s="45"/>
      <c r="P18" s="45"/>
      <c r="Q18" s="45"/>
      <c r="R18" s="45"/>
      <c r="S18" s="45"/>
      <c r="T18" s="44"/>
      <c r="U18" s="44"/>
      <c r="V18" s="44"/>
      <c r="W18" s="44"/>
      <c r="X18" s="44"/>
      <c r="Y18" s="61"/>
      <c r="Z18" s="61"/>
      <c r="AA18" s="61"/>
      <c r="AB18" s="61"/>
      <c r="AC18" s="39"/>
      <c r="AD18" s="39"/>
      <c r="AE18" s="39"/>
      <c r="AF18" s="40"/>
      <c r="AG18" s="62"/>
      <c r="AH18" s="62"/>
      <c r="AI18" s="62"/>
      <c r="AJ18" s="63"/>
      <c r="AK18" s="56"/>
      <c r="AL18" s="46"/>
      <c r="AM18" s="46"/>
      <c r="AN18" s="47"/>
    </row>
    <row r="19" spans="1:40" s="25" customFormat="1" ht="15" customHeight="1" hidden="1">
      <c r="A19" s="26" t="s">
        <v>34</v>
      </c>
      <c r="B19" s="60" t="s">
        <v>36</v>
      </c>
      <c r="C19" s="43"/>
      <c r="D19" s="44"/>
      <c r="E19" s="49"/>
      <c r="F19" s="49"/>
      <c r="G19" s="45"/>
      <c r="H19" s="45"/>
      <c r="I19" s="45"/>
      <c r="J19" s="45"/>
      <c r="K19" s="45"/>
      <c r="L19" s="45"/>
      <c r="M19" s="45"/>
      <c r="N19" s="45"/>
      <c r="O19" s="45"/>
      <c r="P19" s="45"/>
      <c r="Q19" s="45"/>
      <c r="R19" s="45"/>
      <c r="S19" s="45"/>
      <c r="T19" s="44"/>
      <c r="U19" s="44"/>
      <c r="V19" s="44"/>
      <c r="W19" s="44"/>
      <c r="X19" s="44"/>
      <c r="Y19" s="61"/>
      <c r="Z19" s="61"/>
      <c r="AA19" s="61"/>
      <c r="AB19" s="61"/>
      <c r="AC19" s="39"/>
      <c r="AD19" s="39"/>
      <c r="AE19" s="39"/>
      <c r="AF19" s="40"/>
      <c r="AG19" s="62"/>
      <c r="AH19" s="62"/>
      <c r="AI19" s="62"/>
      <c r="AJ19" s="63"/>
      <c r="AK19" s="56"/>
      <c r="AL19" s="46"/>
      <c r="AM19" s="46"/>
      <c r="AN19" s="47"/>
    </row>
    <row r="20" spans="1:40" s="25" customFormat="1" ht="15" customHeight="1" hidden="1">
      <c r="A20" s="26"/>
      <c r="B20" s="60" t="s">
        <v>37</v>
      </c>
      <c r="C20" s="43"/>
      <c r="D20" s="44"/>
      <c r="E20" s="49"/>
      <c r="F20" s="49"/>
      <c r="G20" s="45"/>
      <c r="H20" s="45"/>
      <c r="I20" s="45"/>
      <c r="J20" s="45"/>
      <c r="K20" s="45"/>
      <c r="L20" s="45"/>
      <c r="M20" s="45"/>
      <c r="N20" s="45"/>
      <c r="O20" s="45"/>
      <c r="P20" s="45"/>
      <c r="Q20" s="45"/>
      <c r="R20" s="45"/>
      <c r="S20" s="45"/>
      <c r="T20" s="44"/>
      <c r="U20" s="44"/>
      <c r="V20" s="44"/>
      <c r="W20" s="44"/>
      <c r="X20" s="44"/>
      <c r="Y20" s="61"/>
      <c r="Z20" s="61"/>
      <c r="AA20" s="61"/>
      <c r="AB20" s="61"/>
      <c r="AC20" s="39"/>
      <c r="AD20" s="39"/>
      <c r="AE20" s="39"/>
      <c r="AF20" s="40"/>
      <c r="AG20" s="62"/>
      <c r="AH20" s="62"/>
      <c r="AI20" s="62"/>
      <c r="AJ20" s="63"/>
      <c r="AK20" s="56"/>
      <c r="AL20" s="46"/>
      <c r="AM20" s="46"/>
      <c r="AN20" s="47"/>
    </row>
    <row r="21" spans="1:40" ht="15" customHeight="1" hidden="1">
      <c r="A21" s="32" t="s">
        <v>34</v>
      </c>
      <c r="B21" s="58" t="s">
        <v>38</v>
      </c>
      <c r="C21" s="58"/>
      <c r="D21" s="58">
        <v>2053574</v>
      </c>
      <c r="E21" s="59"/>
      <c r="F21" s="59"/>
      <c r="G21" s="64">
        <f>3000000-G73-200000</f>
        <v>2800000</v>
      </c>
      <c r="H21" s="64"/>
      <c r="I21" s="52">
        <v>2600000</v>
      </c>
      <c r="J21" s="52">
        <v>200000</v>
      </c>
      <c r="K21" s="64"/>
      <c r="L21" s="64"/>
      <c r="M21" s="64">
        <f>2530000-186400</f>
        <v>2343600</v>
      </c>
      <c r="N21" s="64">
        <f>2530000-N73</f>
        <v>2322640</v>
      </c>
      <c r="O21" s="64"/>
      <c r="P21" s="59">
        <f>N21</f>
        <v>2322640</v>
      </c>
      <c r="Q21" s="59">
        <f>P21-R21-S21</f>
        <v>2122640</v>
      </c>
      <c r="R21" s="59">
        <f>'[1]06a.06b chi HX'!C10</f>
        <v>200000</v>
      </c>
      <c r="S21" s="59"/>
      <c r="T21" s="59">
        <v>2550000</v>
      </c>
      <c r="U21" s="59">
        <f>T21*1.07</f>
        <v>2728500</v>
      </c>
      <c r="V21" s="59">
        <f>U21*1.07</f>
        <v>2919495</v>
      </c>
      <c r="W21" s="59">
        <f>V21*1.07</f>
        <v>3123859.6500000004</v>
      </c>
      <c r="X21" s="59">
        <f>W21*1.07</f>
        <v>3342529.8255000007</v>
      </c>
      <c r="Y21" s="61">
        <f aca="true" t="shared" si="9" ref="Y21:Y74">P21-G21</f>
        <v>-477360</v>
      </c>
      <c r="Z21" s="61">
        <f aca="true" t="shared" si="10" ref="Z21:AB50">Q21-I21</f>
        <v>-477360</v>
      </c>
      <c r="AA21" s="61">
        <f t="shared" si="10"/>
        <v>0</v>
      </c>
      <c r="AB21" s="61">
        <f t="shared" si="10"/>
        <v>0</v>
      </c>
      <c r="AC21" s="39"/>
      <c r="AD21" s="39"/>
      <c r="AE21" s="39"/>
      <c r="AF21" s="40"/>
      <c r="AG21" s="40"/>
      <c r="AH21" s="40"/>
      <c r="AI21" s="40"/>
      <c r="AJ21" s="41"/>
      <c r="AK21" s="39"/>
      <c r="AL21" s="46"/>
      <c r="AM21" s="46"/>
      <c r="AN21" s="54"/>
    </row>
    <row r="22" spans="1:40" ht="15" customHeight="1" hidden="1">
      <c r="A22" s="32" t="s">
        <v>34</v>
      </c>
      <c r="B22" s="59" t="s">
        <v>39</v>
      </c>
      <c r="C22" s="59"/>
      <c r="D22" s="58"/>
      <c r="E22" s="59"/>
      <c r="F22" s="59"/>
      <c r="G22" s="52"/>
      <c r="H22" s="52"/>
      <c r="I22" s="52"/>
      <c r="J22" s="52"/>
      <c r="K22" s="52"/>
      <c r="L22" s="52"/>
      <c r="M22" s="52"/>
      <c r="N22" s="52"/>
      <c r="O22" s="52"/>
      <c r="P22" s="39"/>
      <c r="Q22" s="39"/>
      <c r="R22" s="39"/>
      <c r="S22" s="39"/>
      <c r="T22" s="39"/>
      <c r="U22" s="39"/>
      <c r="V22" s="39"/>
      <c r="W22" s="39"/>
      <c r="X22" s="39"/>
      <c r="Y22" s="61">
        <f t="shared" si="9"/>
        <v>0</v>
      </c>
      <c r="Z22" s="61">
        <f t="shared" si="10"/>
        <v>0</v>
      </c>
      <c r="AA22" s="61">
        <f t="shared" si="10"/>
        <v>0</v>
      </c>
      <c r="AB22" s="61">
        <f t="shared" si="10"/>
        <v>0</v>
      </c>
      <c r="AC22" s="39"/>
      <c r="AD22" s="39"/>
      <c r="AE22" s="40"/>
      <c r="AF22" s="40"/>
      <c r="AG22" s="40"/>
      <c r="AH22" s="40"/>
      <c r="AI22" s="40"/>
      <c r="AJ22" s="41"/>
      <c r="AK22" s="39"/>
      <c r="AL22" s="46"/>
      <c r="AM22" s="46"/>
      <c r="AN22" s="54"/>
    </row>
    <row r="23" spans="1:40" s="70" customFormat="1" ht="15" customHeight="1" hidden="1">
      <c r="A23" s="33" t="s">
        <v>34</v>
      </c>
      <c r="B23" s="59" t="s">
        <v>40</v>
      </c>
      <c r="C23" s="59"/>
      <c r="D23" s="59">
        <f>'[2]02.69'!E59</f>
        <v>2300000</v>
      </c>
      <c r="E23" s="59"/>
      <c r="F23" s="59"/>
      <c r="G23" s="65">
        <v>2700000</v>
      </c>
      <c r="H23" s="65"/>
      <c r="I23" s="52">
        <v>1136880</v>
      </c>
      <c r="J23" s="52">
        <v>1361120</v>
      </c>
      <c r="K23" s="52">
        <v>202000</v>
      </c>
      <c r="L23" s="65"/>
      <c r="M23" s="65">
        <v>3200000</v>
      </c>
      <c r="N23" s="65">
        <f>M23</f>
        <v>3200000</v>
      </c>
      <c r="O23" s="65"/>
      <c r="P23" s="66">
        <f>'[1]02a.Thu'!Q56</f>
        <v>3200000</v>
      </c>
      <c r="Q23" s="66">
        <f>P23-R23-S23</f>
        <v>622960</v>
      </c>
      <c r="R23" s="66">
        <f>'[1]06a.06b chi HX'!C12</f>
        <v>2553040</v>
      </c>
      <c r="S23" s="66">
        <f>'[1]Chi TX XA'!C8</f>
        <v>24000</v>
      </c>
      <c r="T23" s="66">
        <f>'[1]02a.Thu'!Y56</f>
        <v>3000000</v>
      </c>
      <c r="U23" s="66">
        <f>'[1]02a.Thu'!Z58</f>
        <v>2500000</v>
      </c>
      <c r="V23" s="66">
        <f>'[1]02a.Thu'!AA56</f>
        <v>2000000</v>
      </c>
      <c r="W23" s="66">
        <f>'[1]02a.Thu'!AB58</f>
        <v>2000000</v>
      </c>
      <c r="X23" s="66">
        <f>'[1]02a.Thu'!AC56</f>
        <v>2000000</v>
      </c>
      <c r="Y23" s="61">
        <f t="shared" si="9"/>
        <v>500000</v>
      </c>
      <c r="Z23" s="61">
        <f t="shared" si="10"/>
        <v>-513920</v>
      </c>
      <c r="AA23" s="61">
        <f t="shared" si="10"/>
        <v>1191920</v>
      </c>
      <c r="AB23" s="61">
        <f t="shared" si="10"/>
        <v>-178000</v>
      </c>
      <c r="AC23" s="39"/>
      <c r="AD23" s="39"/>
      <c r="AE23" s="40"/>
      <c r="AF23" s="40"/>
      <c r="AG23" s="67"/>
      <c r="AH23" s="67"/>
      <c r="AI23" s="67"/>
      <c r="AJ23" s="68"/>
      <c r="AK23" s="66"/>
      <c r="AL23" s="46"/>
      <c r="AM23" s="46"/>
      <c r="AN23" s="69"/>
    </row>
    <row r="24" spans="1:40" ht="15" customHeight="1" hidden="1">
      <c r="A24" s="32" t="s">
        <v>34</v>
      </c>
      <c r="B24" s="58" t="s">
        <v>41</v>
      </c>
      <c r="C24" s="58"/>
      <c r="D24" s="58">
        <v>11000</v>
      </c>
      <c r="E24" s="59"/>
      <c r="F24" s="59"/>
      <c r="G24" s="52">
        <f>'[1]02a.Thu'!G85</f>
        <v>14000</v>
      </c>
      <c r="H24" s="52"/>
      <c r="I24" s="52">
        <v>14000</v>
      </c>
      <c r="J24" s="52"/>
      <c r="K24" s="52"/>
      <c r="L24" s="52"/>
      <c r="M24" s="52">
        <v>16000</v>
      </c>
      <c r="N24" s="52">
        <f>M24</f>
        <v>16000</v>
      </c>
      <c r="O24" s="52"/>
      <c r="P24" s="53">
        <f>'[1]02a.Thu'!Q85</f>
        <v>16000</v>
      </c>
      <c r="Q24" s="53">
        <f>P24</f>
        <v>16000</v>
      </c>
      <c r="R24" s="53"/>
      <c r="S24" s="53"/>
      <c r="T24" s="53">
        <f>'[1]02a.Thu'!Y85</f>
        <v>17000</v>
      </c>
      <c r="U24" s="53">
        <f>'[1]02a.Thu'!Z85</f>
        <v>18000</v>
      </c>
      <c r="V24" s="53">
        <f>'[1]02a.Thu'!AA85</f>
        <v>19000</v>
      </c>
      <c r="W24" s="53">
        <f>'[1]02a.Thu'!AB85</f>
        <v>20000</v>
      </c>
      <c r="X24" s="53">
        <f>'[1]02a.Thu'!AC85</f>
        <v>21000</v>
      </c>
      <c r="Y24" s="61">
        <f t="shared" si="9"/>
        <v>2000</v>
      </c>
      <c r="Z24" s="61">
        <f t="shared" si="10"/>
        <v>2000</v>
      </c>
      <c r="AA24" s="61">
        <f t="shared" si="10"/>
        <v>0</v>
      </c>
      <c r="AB24" s="61">
        <f t="shared" si="10"/>
        <v>0</v>
      </c>
      <c r="AC24" s="39"/>
      <c r="AD24" s="39"/>
      <c r="AE24" s="40"/>
      <c r="AF24" s="40"/>
      <c r="AG24" s="40"/>
      <c r="AH24" s="40"/>
      <c r="AI24" s="40"/>
      <c r="AJ24" s="41"/>
      <c r="AK24" s="39"/>
      <c r="AL24" s="46"/>
      <c r="AM24" s="46"/>
      <c r="AN24" s="54"/>
    </row>
    <row r="25" spans="1:40" ht="15" customHeight="1" hidden="1">
      <c r="A25" s="32" t="s">
        <v>34</v>
      </c>
      <c r="B25" s="60" t="s">
        <v>42</v>
      </c>
      <c r="C25" s="58"/>
      <c r="D25" s="58"/>
      <c r="E25" s="59"/>
      <c r="F25" s="59"/>
      <c r="G25" s="52"/>
      <c r="H25" s="52"/>
      <c r="I25" s="52"/>
      <c r="J25" s="52"/>
      <c r="K25" s="52"/>
      <c r="L25" s="52"/>
      <c r="M25" s="52"/>
      <c r="N25" s="52"/>
      <c r="O25" s="52"/>
      <c r="P25" s="53"/>
      <c r="Q25" s="53"/>
      <c r="R25" s="53"/>
      <c r="S25" s="53"/>
      <c r="T25" s="53"/>
      <c r="U25" s="53"/>
      <c r="V25" s="53"/>
      <c r="W25" s="53"/>
      <c r="X25" s="53"/>
      <c r="Y25" s="61">
        <f t="shared" si="9"/>
        <v>0</v>
      </c>
      <c r="Z25" s="61">
        <f t="shared" si="10"/>
        <v>0</v>
      </c>
      <c r="AA25" s="61">
        <f t="shared" si="10"/>
        <v>0</v>
      </c>
      <c r="AB25" s="61">
        <f t="shared" si="10"/>
        <v>0</v>
      </c>
      <c r="AC25" s="39"/>
      <c r="AD25" s="39"/>
      <c r="AE25" s="39"/>
      <c r="AF25" s="40"/>
      <c r="AG25" s="40"/>
      <c r="AH25" s="40"/>
      <c r="AI25" s="40"/>
      <c r="AJ25" s="41"/>
      <c r="AK25" s="39"/>
      <c r="AL25" s="46"/>
      <c r="AM25" s="46"/>
      <c r="AN25" s="54"/>
    </row>
    <row r="26" spans="1:40" ht="15" customHeight="1" hidden="1">
      <c r="A26" s="32" t="s">
        <v>34</v>
      </c>
      <c r="B26" s="60" t="s">
        <v>43</v>
      </c>
      <c r="C26" s="58"/>
      <c r="D26" s="58"/>
      <c r="E26" s="59"/>
      <c r="F26" s="59"/>
      <c r="G26" s="52"/>
      <c r="H26" s="52"/>
      <c r="I26" s="52"/>
      <c r="J26" s="52"/>
      <c r="K26" s="52"/>
      <c r="L26" s="52"/>
      <c r="M26" s="52"/>
      <c r="N26" s="52">
        <v>41000</v>
      </c>
      <c r="O26" s="52"/>
      <c r="P26" s="53">
        <f>SUM(Q26:S26)</f>
        <v>41000</v>
      </c>
      <c r="Q26" s="53">
        <v>41000</v>
      </c>
      <c r="R26" s="53"/>
      <c r="S26" s="53"/>
      <c r="T26" s="53"/>
      <c r="U26" s="53"/>
      <c r="V26" s="53"/>
      <c r="W26" s="53"/>
      <c r="X26" s="53"/>
      <c r="Y26" s="61"/>
      <c r="Z26" s="61"/>
      <c r="AA26" s="61"/>
      <c r="AB26" s="61"/>
      <c r="AC26" s="39"/>
      <c r="AD26" s="39"/>
      <c r="AE26" s="39"/>
      <c r="AF26" s="40"/>
      <c r="AG26" s="40"/>
      <c r="AH26" s="40"/>
      <c r="AI26" s="40"/>
      <c r="AJ26" s="41"/>
      <c r="AK26" s="39"/>
      <c r="AL26" s="46"/>
      <c r="AM26" s="46"/>
      <c r="AN26" s="54"/>
    </row>
    <row r="27" spans="1:40" ht="15" customHeight="1" hidden="1">
      <c r="A27" s="71" t="s">
        <v>34</v>
      </c>
      <c r="B27" s="60" t="s">
        <v>44</v>
      </c>
      <c r="C27" s="60"/>
      <c r="D27" s="58">
        <v>0</v>
      </c>
      <c r="E27" s="59"/>
      <c r="F27" s="59"/>
      <c r="G27" s="52">
        <f>J27+K27</f>
        <v>95869</v>
      </c>
      <c r="H27" s="52"/>
      <c r="I27" s="52"/>
      <c r="J27" s="52">
        <v>25000</v>
      </c>
      <c r="K27" s="52">
        <v>70869</v>
      </c>
      <c r="L27" s="52"/>
      <c r="M27" s="52"/>
      <c r="N27" s="52">
        <f>P27</f>
        <v>199662</v>
      </c>
      <c r="O27" s="52"/>
      <c r="P27" s="39">
        <f>Q27+R27+S27</f>
        <v>199662</v>
      </c>
      <c r="Q27" s="39"/>
      <c r="R27" s="39">
        <f>'[1]06a.06b chi HX'!C11</f>
        <v>74500</v>
      </c>
      <c r="S27" s="39">
        <f>'[1]06a.06b chi HX'!C80</f>
        <v>125162</v>
      </c>
      <c r="T27" s="39"/>
      <c r="U27" s="39"/>
      <c r="V27" s="39"/>
      <c r="W27" s="39"/>
      <c r="X27" s="39"/>
      <c r="Y27" s="61">
        <f t="shared" si="9"/>
        <v>103793</v>
      </c>
      <c r="Z27" s="61">
        <f t="shared" si="10"/>
        <v>0</v>
      </c>
      <c r="AA27" s="61">
        <f t="shared" si="10"/>
        <v>49500</v>
      </c>
      <c r="AB27" s="61">
        <f t="shared" si="10"/>
        <v>54293</v>
      </c>
      <c r="AC27" s="39"/>
      <c r="AD27" s="39"/>
      <c r="AE27" s="39"/>
      <c r="AF27" s="40"/>
      <c r="AG27" s="40"/>
      <c r="AH27" s="40"/>
      <c r="AI27" s="40"/>
      <c r="AJ27" s="41"/>
      <c r="AK27" s="39"/>
      <c r="AL27" s="46"/>
      <c r="AM27" s="46"/>
      <c r="AN27" s="54"/>
    </row>
    <row r="28" spans="1:40" ht="59.25" customHeight="1" hidden="1">
      <c r="A28" s="71" t="s">
        <v>45</v>
      </c>
      <c r="B28" s="60" t="s">
        <v>29</v>
      </c>
      <c r="C28" s="60"/>
      <c r="D28" s="58"/>
      <c r="E28" s="59"/>
      <c r="F28" s="59"/>
      <c r="G28" s="52"/>
      <c r="H28" s="52"/>
      <c r="I28" s="52"/>
      <c r="J28" s="52"/>
      <c r="K28" s="52"/>
      <c r="L28" s="52"/>
      <c r="M28" s="52"/>
      <c r="N28" s="52"/>
      <c r="O28" s="52"/>
      <c r="P28" s="39"/>
      <c r="Q28" s="39"/>
      <c r="R28" s="39"/>
      <c r="S28" s="39"/>
      <c r="T28" s="39"/>
      <c r="U28" s="39"/>
      <c r="V28" s="39"/>
      <c r="W28" s="39"/>
      <c r="X28" s="39"/>
      <c r="Y28" s="61"/>
      <c r="Z28" s="61"/>
      <c r="AA28" s="61"/>
      <c r="AB28" s="61"/>
      <c r="AC28" s="39"/>
      <c r="AD28" s="39"/>
      <c r="AE28" s="39"/>
      <c r="AF28" s="40"/>
      <c r="AG28" s="40"/>
      <c r="AH28" s="40"/>
      <c r="AI28" s="40"/>
      <c r="AJ28" s="41"/>
      <c r="AK28" s="39"/>
      <c r="AL28" s="46"/>
      <c r="AM28" s="46"/>
      <c r="AN28" s="54"/>
    </row>
    <row r="29" spans="1:40" ht="18" customHeight="1" hidden="1">
      <c r="A29" s="71" t="s">
        <v>46</v>
      </c>
      <c r="B29" s="60" t="s">
        <v>47</v>
      </c>
      <c r="C29" s="60"/>
      <c r="D29" s="58"/>
      <c r="E29" s="59"/>
      <c r="F29" s="59"/>
      <c r="G29" s="52"/>
      <c r="H29" s="52"/>
      <c r="I29" s="52"/>
      <c r="J29" s="52"/>
      <c r="K29" s="52"/>
      <c r="L29" s="52"/>
      <c r="M29" s="52"/>
      <c r="N29" s="52"/>
      <c r="O29" s="52"/>
      <c r="P29" s="39"/>
      <c r="Q29" s="39"/>
      <c r="R29" s="39"/>
      <c r="S29" s="39"/>
      <c r="T29" s="39"/>
      <c r="U29" s="39"/>
      <c r="V29" s="39"/>
      <c r="W29" s="39"/>
      <c r="X29" s="39"/>
      <c r="Y29" s="61"/>
      <c r="Z29" s="61"/>
      <c r="AA29" s="61"/>
      <c r="AB29" s="61"/>
      <c r="AC29" s="39"/>
      <c r="AD29" s="39"/>
      <c r="AE29" s="39"/>
      <c r="AF29" s="40"/>
      <c r="AG29" s="40"/>
      <c r="AH29" s="40"/>
      <c r="AI29" s="39">
        <f>E44-'[3]51-31'!$D$19</f>
        <v>57962</v>
      </c>
      <c r="AJ29" s="41"/>
      <c r="AK29" s="39"/>
      <c r="AL29" s="46"/>
      <c r="AM29" s="46"/>
      <c r="AN29" s="54"/>
    </row>
    <row r="30" spans="1:40" ht="28.5" hidden="1">
      <c r="A30" s="26" t="s">
        <v>48</v>
      </c>
      <c r="B30" s="43" t="s">
        <v>49</v>
      </c>
      <c r="C30" s="43"/>
      <c r="D30" s="44">
        <f>D17</f>
        <v>4364574</v>
      </c>
      <c r="E30" s="44">
        <f>E17</f>
        <v>9210209</v>
      </c>
      <c r="F30" s="44"/>
      <c r="G30" s="45">
        <f>G17</f>
        <v>5609869</v>
      </c>
      <c r="H30" s="45">
        <f>H17</f>
        <v>7881409</v>
      </c>
      <c r="I30" s="45"/>
      <c r="J30" s="45">
        <v>25000</v>
      </c>
      <c r="K30" s="45">
        <v>70869</v>
      </c>
      <c r="L30" s="45">
        <f>L17</f>
        <v>11433553</v>
      </c>
      <c r="M30" s="45"/>
      <c r="N30" s="45"/>
      <c r="O30" s="45"/>
      <c r="P30" s="44">
        <f>P17</f>
        <v>5779302</v>
      </c>
      <c r="Q30" s="44"/>
      <c r="R30" s="44"/>
      <c r="S30" s="44"/>
      <c r="T30" s="44">
        <f>T17</f>
        <v>5567000</v>
      </c>
      <c r="U30" s="44"/>
      <c r="V30" s="44"/>
      <c r="W30" s="44"/>
      <c r="X30" s="44"/>
      <c r="Y30" s="61">
        <f t="shared" si="9"/>
        <v>169433</v>
      </c>
      <c r="Z30" s="61">
        <f t="shared" si="10"/>
        <v>0</v>
      </c>
      <c r="AA30" s="61">
        <f t="shared" si="10"/>
        <v>-25000</v>
      </c>
      <c r="AB30" s="61">
        <f t="shared" si="10"/>
        <v>-70869</v>
      </c>
      <c r="AC30" s="39"/>
      <c r="AD30" s="39">
        <f>T25-AC30</f>
        <v>0</v>
      </c>
      <c r="AE30" s="39" t="s">
        <v>50</v>
      </c>
      <c r="AF30" s="40"/>
      <c r="AG30" s="40"/>
      <c r="AH30" s="40"/>
      <c r="AI30" s="40"/>
      <c r="AJ30" s="41"/>
      <c r="AK30" s="39"/>
      <c r="AL30" s="46">
        <f t="shared" si="3"/>
        <v>0</v>
      </c>
      <c r="AM30" s="46" t="e">
        <f t="shared" si="4"/>
        <v>#DIV/0!</v>
      </c>
      <c r="AN30" s="54"/>
    </row>
    <row r="31" spans="1:40" ht="15" hidden="1">
      <c r="A31" s="72" t="s">
        <v>51</v>
      </c>
      <c r="B31" s="50" t="s">
        <v>35</v>
      </c>
      <c r="C31" s="50"/>
      <c r="D31" s="50"/>
      <c r="E31" s="51"/>
      <c r="F31" s="51"/>
      <c r="G31" s="52"/>
      <c r="H31" s="52"/>
      <c r="I31" s="52"/>
      <c r="J31" s="52"/>
      <c r="K31" s="52"/>
      <c r="L31" s="52"/>
      <c r="M31" s="52"/>
      <c r="N31" s="52"/>
      <c r="O31" s="52"/>
      <c r="P31" s="39"/>
      <c r="Q31" s="39"/>
      <c r="R31" s="39"/>
      <c r="S31" s="39"/>
      <c r="T31" s="39"/>
      <c r="U31" s="39"/>
      <c r="V31" s="39"/>
      <c r="W31" s="39"/>
      <c r="X31" s="39"/>
      <c r="Y31" s="61">
        <f t="shared" si="9"/>
        <v>0</v>
      </c>
      <c r="Z31" s="61">
        <f t="shared" si="10"/>
        <v>0</v>
      </c>
      <c r="AA31" s="61">
        <f t="shared" si="10"/>
        <v>0</v>
      </c>
      <c r="AB31" s="61">
        <f t="shared" si="10"/>
        <v>0</v>
      </c>
      <c r="AC31" s="40"/>
      <c r="AD31" s="40"/>
      <c r="AE31" s="40"/>
      <c r="AF31" s="40"/>
      <c r="AG31" s="40"/>
      <c r="AH31" s="40"/>
      <c r="AI31" s="40"/>
      <c r="AJ31" s="41"/>
      <c r="AK31" s="39"/>
      <c r="AL31" s="46" t="e">
        <f t="shared" si="3"/>
        <v>#DIV/0!</v>
      </c>
      <c r="AM31" s="46" t="e">
        <f t="shared" si="4"/>
        <v>#DIV/0!</v>
      </c>
      <c r="AN31" s="54"/>
    </row>
    <row r="32" spans="1:40" ht="15" hidden="1">
      <c r="A32" s="72" t="s">
        <v>52</v>
      </c>
      <c r="B32" s="50" t="s">
        <v>53</v>
      </c>
      <c r="C32" s="50"/>
      <c r="D32" s="50"/>
      <c r="E32" s="51"/>
      <c r="F32" s="51"/>
      <c r="G32" s="52"/>
      <c r="H32" s="52"/>
      <c r="I32" s="52"/>
      <c r="J32" s="52"/>
      <c r="K32" s="52"/>
      <c r="L32" s="52"/>
      <c r="M32" s="52"/>
      <c r="N32" s="52"/>
      <c r="O32" s="52"/>
      <c r="P32" s="39"/>
      <c r="Q32" s="39"/>
      <c r="R32" s="39"/>
      <c r="S32" s="39"/>
      <c r="T32" s="39"/>
      <c r="U32" s="39"/>
      <c r="V32" s="39"/>
      <c r="W32" s="39"/>
      <c r="X32" s="39"/>
      <c r="Y32" s="61">
        <f t="shared" si="9"/>
        <v>0</v>
      </c>
      <c r="Z32" s="61">
        <f t="shared" si="10"/>
        <v>0</v>
      </c>
      <c r="AA32" s="61">
        <f t="shared" si="10"/>
        <v>0</v>
      </c>
      <c r="AB32" s="61">
        <f t="shared" si="10"/>
        <v>0</v>
      </c>
      <c r="AC32" s="40"/>
      <c r="AD32" s="40"/>
      <c r="AE32" s="40"/>
      <c r="AF32" s="40"/>
      <c r="AG32" s="40"/>
      <c r="AH32" s="40"/>
      <c r="AI32" s="40"/>
      <c r="AJ32" s="41"/>
      <c r="AK32" s="39"/>
      <c r="AL32" s="46" t="e">
        <f t="shared" si="3"/>
        <v>#DIV/0!</v>
      </c>
      <c r="AM32" s="46" t="e">
        <f t="shared" si="4"/>
        <v>#DIV/0!</v>
      </c>
      <c r="AN32" s="54"/>
    </row>
    <row r="33" spans="1:40" ht="15" hidden="1">
      <c r="A33" s="72" t="s">
        <v>54</v>
      </c>
      <c r="B33" s="50" t="s">
        <v>55</v>
      </c>
      <c r="C33" s="50"/>
      <c r="D33" s="50"/>
      <c r="E33" s="51"/>
      <c r="F33" s="51"/>
      <c r="G33" s="52"/>
      <c r="H33" s="52"/>
      <c r="I33" s="52"/>
      <c r="J33" s="52"/>
      <c r="K33" s="52"/>
      <c r="L33" s="52"/>
      <c r="M33" s="52"/>
      <c r="N33" s="52"/>
      <c r="O33" s="52"/>
      <c r="P33" s="39"/>
      <c r="Q33" s="39"/>
      <c r="R33" s="39"/>
      <c r="S33" s="39"/>
      <c r="T33" s="39"/>
      <c r="U33" s="39"/>
      <c r="V33" s="39"/>
      <c r="W33" s="39"/>
      <c r="X33" s="39"/>
      <c r="Y33" s="61">
        <f t="shared" si="9"/>
        <v>0</v>
      </c>
      <c r="Z33" s="61">
        <f t="shared" si="10"/>
        <v>0</v>
      </c>
      <c r="AA33" s="61">
        <f t="shared" si="10"/>
        <v>0</v>
      </c>
      <c r="AB33" s="61">
        <f t="shared" si="10"/>
        <v>0</v>
      </c>
      <c r="AC33" s="40"/>
      <c r="AD33" s="40"/>
      <c r="AE33" s="40"/>
      <c r="AF33" s="40"/>
      <c r="AG33" s="40"/>
      <c r="AH33" s="40"/>
      <c r="AI33" s="40"/>
      <c r="AJ33" s="41"/>
      <c r="AK33" s="39"/>
      <c r="AL33" s="46" t="e">
        <f t="shared" si="3"/>
        <v>#DIV/0!</v>
      </c>
      <c r="AM33" s="46" t="e">
        <f t="shared" si="4"/>
        <v>#DIV/0!</v>
      </c>
      <c r="AN33" s="54"/>
    </row>
    <row r="34" spans="1:40" ht="15" hidden="1">
      <c r="A34" s="72" t="s">
        <v>56</v>
      </c>
      <c r="B34" s="50" t="s">
        <v>57</v>
      </c>
      <c r="C34" s="50"/>
      <c r="D34" s="50"/>
      <c r="E34" s="51"/>
      <c r="F34" s="51"/>
      <c r="G34" s="52"/>
      <c r="H34" s="52"/>
      <c r="I34" s="52"/>
      <c r="J34" s="52"/>
      <c r="K34" s="52"/>
      <c r="L34" s="52"/>
      <c r="M34" s="52"/>
      <c r="N34" s="52"/>
      <c r="O34" s="52"/>
      <c r="P34" s="39"/>
      <c r="Q34" s="39"/>
      <c r="R34" s="39"/>
      <c r="S34" s="39"/>
      <c r="T34" s="39"/>
      <c r="U34" s="39"/>
      <c r="V34" s="39"/>
      <c r="W34" s="39"/>
      <c r="X34" s="39"/>
      <c r="Y34" s="61">
        <f t="shared" si="9"/>
        <v>0</v>
      </c>
      <c r="Z34" s="61">
        <f t="shared" si="10"/>
        <v>0</v>
      </c>
      <c r="AA34" s="61">
        <f t="shared" si="10"/>
        <v>0</v>
      </c>
      <c r="AB34" s="61">
        <f t="shared" si="10"/>
        <v>0</v>
      </c>
      <c r="AC34" s="40"/>
      <c r="AD34" s="40"/>
      <c r="AE34" s="40"/>
      <c r="AF34" s="40"/>
      <c r="AG34" s="40"/>
      <c r="AH34" s="40"/>
      <c r="AI34" s="40"/>
      <c r="AJ34" s="41"/>
      <c r="AK34" s="39"/>
      <c r="AL34" s="46" t="e">
        <f t="shared" si="3"/>
        <v>#DIV/0!</v>
      </c>
      <c r="AM34" s="46" t="e">
        <f t="shared" si="4"/>
        <v>#DIV/0!</v>
      </c>
      <c r="AN34" s="54"/>
    </row>
    <row r="35" spans="1:40" ht="15" hidden="1">
      <c r="A35" s="72" t="s">
        <v>58</v>
      </c>
      <c r="B35" s="50" t="s">
        <v>59</v>
      </c>
      <c r="C35" s="50"/>
      <c r="D35" s="50"/>
      <c r="E35" s="51"/>
      <c r="F35" s="51"/>
      <c r="G35" s="52"/>
      <c r="H35" s="52"/>
      <c r="I35" s="52"/>
      <c r="J35" s="52"/>
      <c r="K35" s="52"/>
      <c r="L35" s="52"/>
      <c r="M35" s="52"/>
      <c r="N35" s="52"/>
      <c r="O35" s="52"/>
      <c r="P35" s="39"/>
      <c r="Q35" s="39"/>
      <c r="R35" s="39"/>
      <c r="S35" s="39"/>
      <c r="T35" s="39"/>
      <c r="U35" s="39"/>
      <c r="V35" s="39"/>
      <c r="W35" s="39"/>
      <c r="X35" s="39"/>
      <c r="Y35" s="61">
        <f t="shared" si="9"/>
        <v>0</v>
      </c>
      <c r="Z35" s="61">
        <f t="shared" si="10"/>
        <v>0</v>
      </c>
      <c r="AA35" s="61">
        <f t="shared" si="10"/>
        <v>0</v>
      </c>
      <c r="AB35" s="61">
        <f t="shared" si="10"/>
        <v>0</v>
      </c>
      <c r="AC35" s="40"/>
      <c r="AD35" s="40"/>
      <c r="AE35" s="40"/>
      <c r="AF35" s="40"/>
      <c r="AG35" s="40"/>
      <c r="AH35" s="40"/>
      <c r="AI35" s="40"/>
      <c r="AJ35" s="41"/>
      <c r="AK35" s="39"/>
      <c r="AL35" s="46" t="e">
        <f t="shared" si="3"/>
        <v>#DIV/0!</v>
      </c>
      <c r="AM35" s="46" t="e">
        <f t="shared" si="4"/>
        <v>#DIV/0!</v>
      </c>
      <c r="AN35" s="54"/>
    </row>
    <row r="36" spans="1:40" ht="15" hidden="1">
      <c r="A36" s="72" t="s">
        <v>60</v>
      </c>
      <c r="B36" s="50" t="s">
        <v>61</v>
      </c>
      <c r="C36" s="50"/>
      <c r="D36" s="50"/>
      <c r="E36" s="51"/>
      <c r="F36" s="51"/>
      <c r="G36" s="52"/>
      <c r="H36" s="52"/>
      <c r="I36" s="52"/>
      <c r="J36" s="52"/>
      <c r="K36" s="52"/>
      <c r="L36" s="52"/>
      <c r="M36" s="52"/>
      <c r="N36" s="52"/>
      <c r="O36" s="52"/>
      <c r="P36" s="39"/>
      <c r="Q36" s="39"/>
      <c r="R36" s="39"/>
      <c r="S36" s="39"/>
      <c r="T36" s="39"/>
      <c r="U36" s="39"/>
      <c r="V36" s="39"/>
      <c r="W36" s="39"/>
      <c r="X36" s="39"/>
      <c r="Y36" s="61">
        <f t="shared" si="9"/>
        <v>0</v>
      </c>
      <c r="Z36" s="61">
        <f t="shared" si="10"/>
        <v>0</v>
      </c>
      <c r="AA36" s="61">
        <f t="shared" si="10"/>
        <v>0</v>
      </c>
      <c r="AB36" s="61">
        <f t="shared" si="10"/>
        <v>0</v>
      </c>
      <c r="AC36" s="40"/>
      <c r="AD36" s="40"/>
      <c r="AE36" s="40"/>
      <c r="AF36" s="40"/>
      <c r="AG36" s="40"/>
      <c r="AH36" s="40"/>
      <c r="AI36" s="40"/>
      <c r="AJ36" s="41"/>
      <c r="AK36" s="39"/>
      <c r="AL36" s="46" t="e">
        <f t="shared" si="3"/>
        <v>#DIV/0!</v>
      </c>
      <c r="AM36" s="46" t="e">
        <f t="shared" si="4"/>
        <v>#DIV/0!</v>
      </c>
      <c r="AN36" s="54"/>
    </row>
    <row r="37" spans="1:40" ht="15" hidden="1">
      <c r="A37" s="72" t="s">
        <v>62</v>
      </c>
      <c r="B37" s="50" t="s">
        <v>63</v>
      </c>
      <c r="C37" s="50"/>
      <c r="D37" s="50"/>
      <c r="E37" s="51"/>
      <c r="F37" s="51"/>
      <c r="G37" s="52"/>
      <c r="H37" s="52"/>
      <c r="I37" s="52"/>
      <c r="J37" s="52"/>
      <c r="K37" s="52"/>
      <c r="L37" s="52"/>
      <c r="M37" s="52"/>
      <c r="N37" s="52"/>
      <c r="O37" s="52"/>
      <c r="P37" s="39"/>
      <c r="Q37" s="39"/>
      <c r="R37" s="39"/>
      <c r="S37" s="39"/>
      <c r="T37" s="39"/>
      <c r="U37" s="39"/>
      <c r="V37" s="39"/>
      <c r="W37" s="39"/>
      <c r="X37" s="39"/>
      <c r="Y37" s="61">
        <f t="shared" si="9"/>
        <v>0</v>
      </c>
      <c r="Z37" s="61">
        <f t="shared" si="10"/>
        <v>0</v>
      </c>
      <c r="AA37" s="61">
        <f t="shared" si="10"/>
        <v>0</v>
      </c>
      <c r="AB37" s="61">
        <f t="shared" si="10"/>
        <v>0</v>
      </c>
      <c r="AC37" s="40"/>
      <c r="AD37" s="40"/>
      <c r="AE37" s="40"/>
      <c r="AF37" s="40"/>
      <c r="AG37" s="40"/>
      <c r="AH37" s="40"/>
      <c r="AI37" s="40"/>
      <c r="AJ37" s="41"/>
      <c r="AK37" s="39"/>
      <c r="AL37" s="46" t="e">
        <f t="shared" si="3"/>
        <v>#DIV/0!</v>
      </c>
      <c r="AM37" s="46" t="e">
        <f t="shared" si="4"/>
        <v>#DIV/0!</v>
      </c>
      <c r="AN37" s="54"/>
    </row>
    <row r="38" spans="1:40" ht="15" hidden="1">
      <c r="A38" s="72" t="s">
        <v>64</v>
      </c>
      <c r="B38" s="50" t="s">
        <v>65</v>
      </c>
      <c r="C38" s="50"/>
      <c r="D38" s="50"/>
      <c r="E38" s="51"/>
      <c r="F38" s="51"/>
      <c r="G38" s="52"/>
      <c r="H38" s="52"/>
      <c r="I38" s="52"/>
      <c r="J38" s="52"/>
      <c r="K38" s="52"/>
      <c r="L38" s="52"/>
      <c r="M38" s="52"/>
      <c r="N38" s="52"/>
      <c r="O38" s="52"/>
      <c r="P38" s="39"/>
      <c r="Q38" s="39"/>
      <c r="R38" s="39"/>
      <c r="S38" s="39"/>
      <c r="T38" s="39"/>
      <c r="U38" s="39"/>
      <c r="V38" s="39"/>
      <c r="W38" s="39"/>
      <c r="X38" s="39"/>
      <c r="Y38" s="61">
        <f t="shared" si="9"/>
        <v>0</v>
      </c>
      <c r="Z38" s="61">
        <f t="shared" si="10"/>
        <v>0</v>
      </c>
      <c r="AA38" s="61">
        <f t="shared" si="10"/>
        <v>0</v>
      </c>
      <c r="AB38" s="61">
        <f t="shared" si="10"/>
        <v>0</v>
      </c>
      <c r="AC38" s="40"/>
      <c r="AD38" s="40"/>
      <c r="AE38" s="40"/>
      <c r="AF38" s="40"/>
      <c r="AG38" s="40"/>
      <c r="AH38" s="40"/>
      <c r="AI38" s="40"/>
      <c r="AJ38" s="41"/>
      <c r="AK38" s="39"/>
      <c r="AL38" s="46" t="e">
        <f t="shared" si="3"/>
        <v>#DIV/0!</v>
      </c>
      <c r="AM38" s="46" t="e">
        <f t="shared" si="4"/>
        <v>#DIV/0!</v>
      </c>
      <c r="AN38" s="54"/>
    </row>
    <row r="39" spans="1:40" ht="15" hidden="1">
      <c r="A39" s="72" t="s">
        <v>66</v>
      </c>
      <c r="B39" s="50" t="s">
        <v>67</v>
      </c>
      <c r="C39" s="50"/>
      <c r="D39" s="50"/>
      <c r="E39" s="51"/>
      <c r="F39" s="51"/>
      <c r="G39" s="52"/>
      <c r="H39" s="52"/>
      <c r="I39" s="52"/>
      <c r="J39" s="52"/>
      <c r="K39" s="52"/>
      <c r="L39" s="52"/>
      <c r="M39" s="52"/>
      <c r="N39" s="52"/>
      <c r="O39" s="52"/>
      <c r="P39" s="39"/>
      <c r="Q39" s="39"/>
      <c r="R39" s="39"/>
      <c r="S39" s="39"/>
      <c r="T39" s="39"/>
      <c r="U39" s="39"/>
      <c r="V39" s="39"/>
      <c r="W39" s="39"/>
      <c r="X39" s="39"/>
      <c r="Y39" s="61">
        <f t="shared" si="9"/>
        <v>0</v>
      </c>
      <c r="Z39" s="61">
        <f t="shared" si="10"/>
        <v>0</v>
      </c>
      <c r="AA39" s="61">
        <f t="shared" si="10"/>
        <v>0</v>
      </c>
      <c r="AB39" s="61">
        <f t="shared" si="10"/>
        <v>0</v>
      </c>
      <c r="AC39" s="40"/>
      <c r="AD39" s="40"/>
      <c r="AE39" s="40"/>
      <c r="AF39" s="40"/>
      <c r="AG39" s="40"/>
      <c r="AH39" s="40"/>
      <c r="AI39" s="40"/>
      <c r="AJ39" s="41"/>
      <c r="AK39" s="39"/>
      <c r="AL39" s="46" t="e">
        <f t="shared" si="3"/>
        <v>#DIV/0!</v>
      </c>
      <c r="AM39" s="46" t="e">
        <f t="shared" si="4"/>
        <v>#DIV/0!</v>
      </c>
      <c r="AN39" s="54"/>
    </row>
    <row r="40" spans="1:40" ht="15" hidden="1">
      <c r="A40" s="72" t="s">
        <v>68</v>
      </c>
      <c r="B40" s="50" t="s">
        <v>69</v>
      </c>
      <c r="C40" s="50"/>
      <c r="D40" s="50"/>
      <c r="E40" s="51"/>
      <c r="F40" s="51"/>
      <c r="G40" s="52"/>
      <c r="H40" s="52"/>
      <c r="I40" s="52"/>
      <c r="J40" s="52"/>
      <c r="K40" s="52"/>
      <c r="L40" s="52"/>
      <c r="M40" s="52"/>
      <c r="N40" s="52"/>
      <c r="O40" s="52"/>
      <c r="P40" s="39"/>
      <c r="Q40" s="39"/>
      <c r="R40" s="39"/>
      <c r="S40" s="39"/>
      <c r="T40" s="39"/>
      <c r="U40" s="39"/>
      <c r="V40" s="39"/>
      <c r="W40" s="39"/>
      <c r="X40" s="39"/>
      <c r="Y40" s="61">
        <f t="shared" si="9"/>
        <v>0</v>
      </c>
      <c r="Z40" s="61">
        <f t="shared" si="10"/>
        <v>0</v>
      </c>
      <c r="AA40" s="61">
        <f t="shared" si="10"/>
        <v>0</v>
      </c>
      <c r="AB40" s="61">
        <f t="shared" si="10"/>
        <v>0</v>
      </c>
      <c r="AC40" s="40"/>
      <c r="AD40" s="40"/>
      <c r="AE40" s="40"/>
      <c r="AF40" s="40"/>
      <c r="AG40" s="40"/>
      <c r="AH40" s="40"/>
      <c r="AI40" s="40"/>
      <c r="AJ40" s="41"/>
      <c r="AK40" s="39"/>
      <c r="AL40" s="46" t="e">
        <f t="shared" si="3"/>
        <v>#DIV/0!</v>
      </c>
      <c r="AM40" s="46" t="e">
        <f t="shared" si="4"/>
        <v>#DIV/0!</v>
      </c>
      <c r="AN40" s="54"/>
    </row>
    <row r="41" spans="1:40" ht="15" hidden="1">
      <c r="A41" s="72" t="s">
        <v>70</v>
      </c>
      <c r="B41" s="50" t="s">
        <v>71</v>
      </c>
      <c r="C41" s="50"/>
      <c r="D41" s="50"/>
      <c r="E41" s="51"/>
      <c r="F41" s="51"/>
      <c r="G41" s="52"/>
      <c r="H41" s="52"/>
      <c r="I41" s="52"/>
      <c r="J41" s="52"/>
      <c r="K41" s="52"/>
      <c r="L41" s="52"/>
      <c r="M41" s="52"/>
      <c r="N41" s="52"/>
      <c r="O41" s="52"/>
      <c r="P41" s="39"/>
      <c r="Q41" s="39"/>
      <c r="R41" s="39"/>
      <c r="S41" s="39"/>
      <c r="T41" s="39"/>
      <c r="U41" s="39"/>
      <c r="V41" s="39"/>
      <c r="W41" s="39"/>
      <c r="X41" s="39"/>
      <c r="Y41" s="61">
        <f t="shared" si="9"/>
        <v>0</v>
      </c>
      <c r="Z41" s="61">
        <f t="shared" si="10"/>
        <v>0</v>
      </c>
      <c r="AA41" s="61">
        <f t="shared" si="10"/>
        <v>0</v>
      </c>
      <c r="AB41" s="61">
        <f t="shared" si="10"/>
        <v>0</v>
      </c>
      <c r="AC41" s="40"/>
      <c r="AD41" s="40"/>
      <c r="AE41" s="40"/>
      <c r="AF41" s="40"/>
      <c r="AG41" s="40"/>
      <c r="AH41" s="40"/>
      <c r="AI41" s="40"/>
      <c r="AJ41" s="41"/>
      <c r="AK41" s="39"/>
      <c r="AL41" s="46" t="e">
        <f t="shared" si="3"/>
        <v>#DIV/0!</v>
      </c>
      <c r="AM41" s="46" t="e">
        <f t="shared" si="4"/>
        <v>#DIV/0!</v>
      </c>
      <c r="AN41" s="54"/>
    </row>
    <row r="42" spans="1:40" ht="15" hidden="1">
      <c r="A42" s="72" t="s">
        <v>72</v>
      </c>
      <c r="B42" s="50" t="s">
        <v>73</v>
      </c>
      <c r="C42" s="50"/>
      <c r="D42" s="50"/>
      <c r="E42" s="51"/>
      <c r="F42" s="51"/>
      <c r="G42" s="52"/>
      <c r="H42" s="52"/>
      <c r="I42" s="52"/>
      <c r="J42" s="52"/>
      <c r="K42" s="52"/>
      <c r="L42" s="52"/>
      <c r="M42" s="52"/>
      <c r="N42" s="52"/>
      <c r="O42" s="52"/>
      <c r="P42" s="39"/>
      <c r="Q42" s="39"/>
      <c r="R42" s="39"/>
      <c r="S42" s="39"/>
      <c r="T42" s="39"/>
      <c r="U42" s="39"/>
      <c r="V42" s="39"/>
      <c r="W42" s="39"/>
      <c r="X42" s="39"/>
      <c r="Y42" s="61">
        <f t="shared" si="9"/>
        <v>0</v>
      </c>
      <c r="Z42" s="61">
        <f t="shared" si="10"/>
        <v>0</v>
      </c>
      <c r="AA42" s="61">
        <f t="shared" si="10"/>
        <v>0</v>
      </c>
      <c r="AB42" s="61">
        <f t="shared" si="10"/>
        <v>0</v>
      </c>
      <c r="AC42" s="40"/>
      <c r="AD42" s="40"/>
      <c r="AE42" s="40"/>
      <c r="AF42" s="40"/>
      <c r="AG42" s="40"/>
      <c r="AH42" s="40"/>
      <c r="AI42" s="40"/>
      <c r="AJ42" s="41"/>
      <c r="AK42" s="39"/>
      <c r="AL42" s="46" t="e">
        <f t="shared" si="3"/>
        <v>#DIV/0!</v>
      </c>
      <c r="AM42" s="46" t="e">
        <f t="shared" si="4"/>
        <v>#DIV/0!</v>
      </c>
      <c r="AN42" s="54"/>
    </row>
    <row r="43" spans="1:40" ht="15" hidden="1">
      <c r="A43" s="72" t="s">
        <v>74</v>
      </c>
      <c r="B43" s="50" t="s">
        <v>75</v>
      </c>
      <c r="C43" s="50"/>
      <c r="D43" s="50"/>
      <c r="E43" s="51"/>
      <c r="F43" s="51"/>
      <c r="G43" s="52"/>
      <c r="H43" s="52"/>
      <c r="I43" s="52"/>
      <c r="J43" s="52"/>
      <c r="K43" s="52"/>
      <c r="L43" s="52"/>
      <c r="M43" s="52"/>
      <c r="N43" s="52"/>
      <c r="O43" s="52"/>
      <c r="P43" s="39"/>
      <c r="Q43" s="39"/>
      <c r="R43" s="39"/>
      <c r="S43" s="39"/>
      <c r="T43" s="39"/>
      <c r="U43" s="39"/>
      <c r="V43" s="39"/>
      <c r="W43" s="39"/>
      <c r="X43" s="39"/>
      <c r="Y43" s="61">
        <f t="shared" si="9"/>
        <v>0</v>
      </c>
      <c r="Z43" s="61">
        <f t="shared" si="10"/>
        <v>0</v>
      </c>
      <c r="AA43" s="61">
        <f t="shared" si="10"/>
        <v>0</v>
      </c>
      <c r="AB43" s="61">
        <f t="shared" si="10"/>
        <v>0</v>
      </c>
      <c r="AC43" s="40"/>
      <c r="AD43" s="40"/>
      <c r="AE43" s="40"/>
      <c r="AF43" s="40"/>
      <c r="AG43" s="40"/>
      <c r="AH43" s="40"/>
      <c r="AI43" s="40"/>
      <c r="AJ43" s="41"/>
      <c r="AK43" s="39"/>
      <c r="AL43" s="46" t="e">
        <f t="shared" si="3"/>
        <v>#DIV/0!</v>
      </c>
      <c r="AM43" s="46" t="e">
        <f t="shared" si="4"/>
        <v>#DIV/0!</v>
      </c>
      <c r="AN43" s="54"/>
    </row>
    <row r="44" spans="1:41" s="25" customFormat="1" ht="14.25">
      <c r="A44" s="26">
        <v>2</v>
      </c>
      <c r="B44" s="43" t="s">
        <v>76</v>
      </c>
      <c r="C44" s="43">
        <v>6982125</v>
      </c>
      <c r="D44" s="49">
        <f aca="true" t="shared" si="11" ref="D44:AK44">SUM(D45:D57)</f>
        <v>8318065.207692308</v>
      </c>
      <c r="E44" s="49">
        <f t="shared" si="11"/>
        <v>7564624</v>
      </c>
      <c r="F44" s="49">
        <f t="shared" si="11"/>
        <v>3669721</v>
      </c>
      <c r="G44" s="45">
        <f t="shared" si="11"/>
        <v>9356255</v>
      </c>
      <c r="H44" s="45">
        <f t="shared" si="11"/>
        <v>5994602</v>
      </c>
      <c r="I44" s="45">
        <f t="shared" si="11"/>
        <v>5132256</v>
      </c>
      <c r="J44" s="45">
        <f t="shared" si="11"/>
        <v>3487686</v>
      </c>
      <c r="K44" s="45">
        <f t="shared" si="11"/>
        <v>736313</v>
      </c>
      <c r="L44" s="45">
        <f t="shared" si="11"/>
        <v>8370042</v>
      </c>
      <c r="M44" s="45">
        <v>10131892</v>
      </c>
      <c r="N44" s="45">
        <f>M44-P62-P27</f>
        <v>9924455</v>
      </c>
      <c r="O44" s="44">
        <f t="shared" si="11"/>
        <v>3845702</v>
      </c>
      <c r="P44" s="44">
        <f t="shared" si="11"/>
        <v>9924455</v>
      </c>
      <c r="Q44" s="44">
        <f t="shared" si="11"/>
        <v>5349137</v>
      </c>
      <c r="R44" s="44">
        <f t="shared" si="11"/>
        <v>3812666</v>
      </c>
      <c r="S44" s="44">
        <f t="shared" si="11"/>
        <v>762652</v>
      </c>
      <c r="T44" s="44">
        <f t="shared" si="11"/>
        <v>12039306</v>
      </c>
      <c r="U44" s="44">
        <f t="shared" si="11"/>
        <v>12232994</v>
      </c>
      <c r="V44" s="44">
        <f t="shared" si="11"/>
        <v>12488848.879999999</v>
      </c>
      <c r="W44" s="44">
        <f t="shared" si="11"/>
        <v>12758443.857600002</v>
      </c>
      <c r="X44" s="44">
        <f t="shared" si="11"/>
        <v>13043064.734751998</v>
      </c>
      <c r="Y44" s="44">
        <f t="shared" si="11"/>
        <v>568200</v>
      </c>
      <c r="Z44" s="44">
        <f t="shared" si="11"/>
        <v>216881</v>
      </c>
      <c r="AA44" s="44">
        <f t="shared" si="11"/>
        <v>324980</v>
      </c>
      <c r="AB44" s="44">
        <f t="shared" si="11"/>
        <v>26339</v>
      </c>
      <c r="AC44" s="44">
        <f t="shared" si="11"/>
        <v>0</v>
      </c>
      <c r="AD44" s="44">
        <f t="shared" si="11"/>
        <v>9924455</v>
      </c>
      <c r="AE44" s="44">
        <f t="shared" si="11"/>
        <v>9924455</v>
      </c>
      <c r="AF44" s="44">
        <f t="shared" si="11"/>
        <v>0</v>
      </c>
      <c r="AG44" s="44">
        <f t="shared" si="11"/>
        <v>0</v>
      </c>
      <c r="AH44" s="44">
        <f t="shared" si="11"/>
        <v>0</v>
      </c>
      <c r="AI44" s="44">
        <f t="shared" si="11"/>
        <v>0</v>
      </c>
      <c r="AJ44" s="44">
        <f t="shared" si="11"/>
        <v>0</v>
      </c>
      <c r="AK44" s="44">
        <f t="shared" si="11"/>
        <v>3589597</v>
      </c>
      <c r="AL44" s="46">
        <f t="shared" si="3"/>
        <v>0.36169210299205345</v>
      </c>
      <c r="AM44" s="46">
        <f t="shared" si="4"/>
        <v>0.93340487640488</v>
      </c>
      <c r="AN44" s="47">
        <f>SUM(AN45:AN57)</f>
        <v>9134178.85</v>
      </c>
      <c r="AO44" s="48"/>
    </row>
    <row r="45" spans="1:40" ht="18" customHeight="1">
      <c r="A45" s="32" t="s">
        <v>77</v>
      </c>
      <c r="B45" s="58" t="s">
        <v>35</v>
      </c>
      <c r="C45" s="50"/>
      <c r="D45" s="58">
        <v>3140822</v>
      </c>
      <c r="E45" s="59">
        <v>2872841</v>
      </c>
      <c r="F45" s="59">
        <v>1328170</v>
      </c>
      <c r="G45" s="52">
        <f>SUM(I45:K45)</f>
        <v>3304307</v>
      </c>
      <c r="H45" s="52">
        <v>2454386</v>
      </c>
      <c r="I45" s="52">
        <v>1277081</v>
      </c>
      <c r="J45" s="52">
        <v>2020926</v>
      </c>
      <c r="K45" s="52">
        <v>6300</v>
      </c>
      <c r="L45" s="73">
        <v>3250949</v>
      </c>
      <c r="M45" s="52">
        <v>3403436</v>
      </c>
      <c r="N45" s="52"/>
      <c r="O45" s="52">
        <v>1430000</v>
      </c>
      <c r="P45" s="53">
        <f>SUM(Q45:S45)</f>
        <v>3403436</v>
      </c>
      <c r="Q45" s="53">
        <f>'[1]04b.TX'!H11</f>
        <v>1250378</v>
      </c>
      <c r="R45" s="53">
        <f>'[1]Chi TX H'!C11+'[1]Chi TX H'!C12+'[1]06a.06b chi HX'!C29+'[1]06a.06b chi HX'!C38+'[1]07.BSMT'!C59</f>
        <v>2146758</v>
      </c>
      <c r="S45" s="53">
        <f>'[1]06a.06b chi HX'!C89</f>
        <v>6300</v>
      </c>
      <c r="T45" s="53">
        <v>4300000</v>
      </c>
      <c r="U45" s="53">
        <v>4400000</v>
      </c>
      <c r="V45" s="53">
        <f>U45*1.02-56845+60427</f>
        <v>4491582</v>
      </c>
      <c r="W45" s="53">
        <f>V45*1.02+11618</f>
        <v>4593031.64</v>
      </c>
      <c r="X45" s="53">
        <f>W45*1.02+20622</f>
        <v>4705514.272799999</v>
      </c>
      <c r="Y45" s="61">
        <f t="shared" si="9"/>
        <v>99129</v>
      </c>
      <c r="Z45" s="61">
        <f t="shared" si="10"/>
        <v>-26703</v>
      </c>
      <c r="AA45" s="61">
        <f t="shared" si="10"/>
        <v>125832</v>
      </c>
      <c r="AB45" s="61">
        <f t="shared" si="10"/>
        <v>0</v>
      </c>
      <c r="AC45" s="40"/>
      <c r="AD45" s="39">
        <f>R44+R64-AD44</f>
        <v>0</v>
      </c>
      <c r="AE45" s="39">
        <f>S44-AE44</f>
        <v>0</v>
      </c>
      <c r="AF45" s="40"/>
      <c r="AG45" s="40"/>
      <c r="AH45" s="40"/>
      <c r="AI45" s="40"/>
      <c r="AJ45" s="41"/>
      <c r="AK45" s="39">
        <v>1300000</v>
      </c>
      <c r="AL45" s="74">
        <f t="shared" si="3"/>
        <v>0.38196692989085146</v>
      </c>
      <c r="AM45" s="74">
        <f t="shared" si="4"/>
        <v>0.9090909090909091</v>
      </c>
      <c r="AN45" s="54">
        <v>3403436</v>
      </c>
    </row>
    <row r="46" spans="1:40" ht="18" customHeight="1">
      <c r="A46" s="32" t="s">
        <v>78</v>
      </c>
      <c r="B46" s="58" t="s">
        <v>53</v>
      </c>
      <c r="C46" s="50"/>
      <c r="D46" s="58">
        <v>48161</v>
      </c>
      <c r="E46" s="59">
        <v>35646</v>
      </c>
      <c r="F46" s="59">
        <v>18260</v>
      </c>
      <c r="G46" s="52">
        <f aca="true" t="shared" si="12" ref="G46:G56">SUM(I46:K46)</f>
        <v>52495</v>
      </c>
      <c r="H46" s="52">
        <v>39540</v>
      </c>
      <c r="I46" s="52">
        <v>52495</v>
      </c>
      <c r="J46" s="52"/>
      <c r="K46" s="52"/>
      <c r="L46" s="73">
        <v>54117</v>
      </c>
      <c r="M46" s="52">
        <v>56695</v>
      </c>
      <c r="N46" s="52"/>
      <c r="O46" s="52">
        <v>21699</v>
      </c>
      <c r="P46" s="53">
        <f aca="true" t="shared" si="13" ref="P46:P57">SUM(Q46:S46)</f>
        <v>56695</v>
      </c>
      <c r="Q46" s="53">
        <f>'[1]04b.TX'!J11</f>
        <v>56695</v>
      </c>
      <c r="R46" s="53"/>
      <c r="S46" s="53"/>
      <c r="T46" s="53">
        <v>65000</v>
      </c>
      <c r="U46" s="53">
        <v>65000</v>
      </c>
      <c r="V46" s="53">
        <f aca="true" t="shared" si="14" ref="V46:X56">U46*1.02</f>
        <v>66300</v>
      </c>
      <c r="W46" s="53">
        <f t="shared" si="14"/>
        <v>67626</v>
      </c>
      <c r="X46" s="53">
        <f t="shared" si="14"/>
        <v>68978.52</v>
      </c>
      <c r="Y46" s="61">
        <f t="shared" si="9"/>
        <v>4200</v>
      </c>
      <c r="Z46" s="61">
        <f t="shared" si="10"/>
        <v>4200</v>
      </c>
      <c r="AA46" s="61">
        <f t="shared" si="10"/>
        <v>0</v>
      </c>
      <c r="AB46" s="61">
        <f t="shared" si="10"/>
        <v>0</v>
      </c>
      <c r="AC46" s="40" t="s">
        <v>79</v>
      </c>
      <c r="AD46" s="40">
        <v>3403436</v>
      </c>
      <c r="AE46" s="39">
        <f>P45-AD46</f>
        <v>0</v>
      </c>
      <c r="AF46" s="40"/>
      <c r="AG46" s="40"/>
      <c r="AH46" s="40"/>
      <c r="AI46" s="40"/>
      <c r="AJ46" s="41"/>
      <c r="AK46" s="39">
        <v>27000</v>
      </c>
      <c r="AL46" s="74">
        <f t="shared" si="3"/>
        <v>0.47623247199929447</v>
      </c>
      <c r="AM46" s="74">
        <f t="shared" si="4"/>
        <v>1.244296972210701</v>
      </c>
      <c r="AN46" s="54">
        <v>56695</v>
      </c>
    </row>
    <row r="47" spans="1:40" ht="18" customHeight="1">
      <c r="A47" s="32" t="s">
        <v>80</v>
      </c>
      <c r="B47" s="58" t="s">
        <v>55</v>
      </c>
      <c r="C47" s="50"/>
      <c r="D47" s="58">
        <v>206829</v>
      </c>
      <c r="E47" s="59">
        <v>198024</v>
      </c>
      <c r="F47" s="59">
        <v>90000</v>
      </c>
      <c r="G47" s="52">
        <f t="shared" si="12"/>
        <v>168101</v>
      </c>
      <c r="H47" s="52">
        <v>156449</v>
      </c>
      <c r="I47" s="52">
        <v>85501</v>
      </c>
      <c r="J47" s="52">
        <v>23320</v>
      </c>
      <c r="K47" s="52">
        <v>59280</v>
      </c>
      <c r="L47" s="73">
        <v>203765</v>
      </c>
      <c r="M47" s="52"/>
      <c r="N47" s="52"/>
      <c r="O47" s="52">
        <v>90000</v>
      </c>
      <c r="P47" s="53">
        <f t="shared" si="13"/>
        <v>202035</v>
      </c>
      <c r="Q47" s="53">
        <f>'[1]04b.TX'!F11</f>
        <v>107002</v>
      </c>
      <c r="R47" s="53">
        <f>'[1]Chi TX H'!C20</f>
        <v>19320</v>
      </c>
      <c r="S47" s="53">
        <f>'[1]Chi TX XA'!C20+'[1]07.BSMT'!C50+'[1]CCTL'!K8</f>
        <v>75713</v>
      </c>
      <c r="T47" s="53">
        <v>230000</v>
      </c>
      <c r="U47" s="53">
        <v>235000</v>
      </c>
      <c r="V47" s="53">
        <f t="shared" si="14"/>
        <v>239700</v>
      </c>
      <c r="W47" s="53">
        <f t="shared" si="14"/>
        <v>244494</v>
      </c>
      <c r="X47" s="53">
        <f t="shared" si="14"/>
        <v>249383.88</v>
      </c>
      <c r="Y47" s="61">
        <f t="shared" si="9"/>
        <v>33934</v>
      </c>
      <c r="Z47" s="61">
        <f t="shared" si="10"/>
        <v>21501</v>
      </c>
      <c r="AA47" s="61">
        <f t="shared" si="10"/>
        <v>-4000</v>
      </c>
      <c r="AB47" s="61">
        <f t="shared" si="10"/>
        <v>16433</v>
      </c>
      <c r="AC47" s="40" t="s">
        <v>81</v>
      </c>
      <c r="AD47" s="40">
        <v>56695</v>
      </c>
      <c r="AE47" s="39">
        <f>P46-AD47</f>
        <v>0</v>
      </c>
      <c r="AF47" s="40"/>
      <c r="AG47" s="40"/>
      <c r="AH47" s="40"/>
      <c r="AI47" s="40"/>
      <c r="AJ47" s="41"/>
      <c r="AK47" s="39">
        <v>80000</v>
      </c>
      <c r="AL47" s="74">
        <f t="shared" si="3"/>
        <v>0.39597099512460715</v>
      </c>
      <c r="AM47" s="74">
        <f t="shared" si="4"/>
        <v>0.8888888888888888</v>
      </c>
      <c r="AN47" s="54">
        <v>191933.25</v>
      </c>
    </row>
    <row r="48" spans="1:40" ht="18" customHeight="1">
      <c r="A48" s="32" t="s">
        <v>82</v>
      </c>
      <c r="B48" s="58" t="s">
        <v>57</v>
      </c>
      <c r="C48" s="50"/>
      <c r="D48" s="58">
        <v>137905</v>
      </c>
      <c r="E48" s="59">
        <v>143177</v>
      </c>
      <c r="F48" s="59">
        <v>55120</v>
      </c>
      <c r="G48" s="52">
        <f t="shared" si="12"/>
        <v>173257</v>
      </c>
      <c r="H48" s="52">
        <v>129404</v>
      </c>
      <c r="I48" s="52">
        <v>91953</v>
      </c>
      <c r="J48" s="52">
        <v>7659</v>
      </c>
      <c r="K48" s="52">
        <v>73645</v>
      </c>
      <c r="L48" s="73">
        <v>192161</v>
      </c>
      <c r="M48" s="52"/>
      <c r="N48" s="52"/>
      <c r="O48" s="52">
        <v>61003</v>
      </c>
      <c r="P48" s="53">
        <f t="shared" si="13"/>
        <v>247972</v>
      </c>
      <c r="Q48" s="53">
        <f>'[1]04b.TX'!G11</f>
        <v>169637</v>
      </c>
      <c r="R48" s="53">
        <f>'[1]Chi TX H'!C19</f>
        <v>4690</v>
      </c>
      <c r="S48" s="53">
        <f>'[1]Chi TX XA'!C19</f>
        <v>73645</v>
      </c>
      <c r="T48" s="53">
        <v>210000</v>
      </c>
      <c r="U48" s="53">
        <v>215000</v>
      </c>
      <c r="V48" s="53">
        <f t="shared" si="14"/>
        <v>219300</v>
      </c>
      <c r="W48" s="53">
        <f t="shared" si="14"/>
        <v>223686</v>
      </c>
      <c r="X48" s="53">
        <f t="shared" si="14"/>
        <v>228159.72</v>
      </c>
      <c r="Y48" s="61">
        <f t="shared" si="9"/>
        <v>74715</v>
      </c>
      <c r="Z48" s="61">
        <f t="shared" si="10"/>
        <v>77684</v>
      </c>
      <c r="AA48" s="61">
        <f t="shared" si="10"/>
        <v>-2969</v>
      </c>
      <c r="AB48" s="61">
        <f t="shared" si="10"/>
        <v>0</v>
      </c>
      <c r="AC48" s="40" t="s">
        <v>50</v>
      </c>
      <c r="AD48" s="40">
        <v>645595</v>
      </c>
      <c r="AE48" s="39">
        <f>P53-AD48</f>
        <v>0</v>
      </c>
      <c r="AF48" s="40"/>
      <c r="AG48" s="40"/>
      <c r="AH48" s="40"/>
      <c r="AI48" s="40"/>
      <c r="AJ48" s="41"/>
      <c r="AK48" s="39">
        <v>75000</v>
      </c>
      <c r="AL48" s="74">
        <f t="shared" si="3"/>
        <v>0.3024535028148339</v>
      </c>
      <c r="AM48" s="74">
        <f t="shared" si="4"/>
        <v>1.2294477320787502</v>
      </c>
      <c r="AN48" s="54">
        <v>235573.4</v>
      </c>
    </row>
    <row r="49" spans="1:40" ht="18" customHeight="1">
      <c r="A49" s="32" t="s">
        <v>83</v>
      </c>
      <c r="B49" s="58" t="s">
        <v>84</v>
      </c>
      <c r="C49" s="50"/>
      <c r="D49" s="58">
        <v>519989</v>
      </c>
      <c r="E49" s="59">
        <v>542792</v>
      </c>
      <c r="F49" s="59">
        <v>249833</v>
      </c>
      <c r="G49" s="52">
        <f t="shared" si="12"/>
        <v>601945</v>
      </c>
      <c r="H49" s="52">
        <v>423895</v>
      </c>
      <c r="I49" s="52">
        <v>520923</v>
      </c>
      <c r="J49" s="52">
        <v>69933</v>
      </c>
      <c r="K49" s="52">
        <v>11089</v>
      </c>
      <c r="L49" s="73">
        <v>566660</v>
      </c>
      <c r="M49" s="52"/>
      <c r="N49" s="52"/>
      <c r="O49" s="52">
        <v>270000</v>
      </c>
      <c r="P49" s="53">
        <f t="shared" si="13"/>
        <v>617413</v>
      </c>
      <c r="Q49" s="53">
        <f>'[1]04b.TX'!I11</f>
        <v>545648</v>
      </c>
      <c r="R49" s="53">
        <f>'[1]Chi TX H'!C13</f>
        <v>60676</v>
      </c>
      <c r="S49" s="53">
        <f>'[1]Chi TX XA'!C13</f>
        <v>11089</v>
      </c>
      <c r="T49" s="53">
        <v>850000</v>
      </c>
      <c r="U49" s="53">
        <v>970000</v>
      </c>
      <c r="V49" s="53">
        <f t="shared" si="14"/>
        <v>989400</v>
      </c>
      <c r="W49" s="53">
        <f t="shared" si="14"/>
        <v>1009188</v>
      </c>
      <c r="X49" s="53">
        <f t="shared" si="14"/>
        <v>1029371.76</v>
      </c>
      <c r="Y49" s="61">
        <f t="shared" si="9"/>
        <v>15468</v>
      </c>
      <c r="Z49" s="61">
        <f t="shared" si="10"/>
        <v>24725</v>
      </c>
      <c r="AA49" s="61">
        <f t="shared" si="10"/>
        <v>-9257</v>
      </c>
      <c r="AB49" s="61">
        <f t="shared" si="10"/>
        <v>0</v>
      </c>
      <c r="AC49" s="40"/>
      <c r="AD49" s="40"/>
      <c r="AE49" s="40"/>
      <c r="AF49" s="40"/>
      <c r="AG49" s="40"/>
      <c r="AH49" s="40"/>
      <c r="AI49" s="40"/>
      <c r="AJ49" s="41"/>
      <c r="AK49" s="39">
        <v>270000</v>
      </c>
      <c r="AL49" s="74">
        <f t="shared" si="3"/>
        <v>0.4373085762690452</v>
      </c>
      <c r="AM49" s="74">
        <f t="shared" si="4"/>
        <v>1</v>
      </c>
      <c r="AN49" s="54">
        <v>586542.35</v>
      </c>
    </row>
    <row r="50" spans="1:40" ht="18" customHeight="1">
      <c r="A50" s="32" t="s">
        <v>85</v>
      </c>
      <c r="B50" s="58" t="s">
        <v>86</v>
      </c>
      <c r="C50" s="50"/>
      <c r="D50" s="58">
        <v>165641</v>
      </c>
      <c r="E50" s="59">
        <v>187493</v>
      </c>
      <c r="F50" s="59">
        <v>92628</v>
      </c>
      <c r="G50" s="52">
        <f t="shared" si="12"/>
        <v>242986</v>
      </c>
      <c r="H50" s="52">
        <v>158943</v>
      </c>
      <c r="I50" s="52">
        <v>215087</v>
      </c>
      <c r="J50" s="52">
        <v>17762</v>
      </c>
      <c r="K50" s="52">
        <v>10137</v>
      </c>
      <c r="L50" s="73">
        <v>258459</v>
      </c>
      <c r="M50" s="52"/>
      <c r="N50" s="52"/>
      <c r="O50" s="52">
        <v>95000</v>
      </c>
      <c r="P50" s="53">
        <f t="shared" si="13"/>
        <v>320004</v>
      </c>
      <c r="Q50" s="53">
        <f>'[1]04b.TX'!K11</f>
        <v>287451</v>
      </c>
      <c r="R50" s="53">
        <f>'[1]Chi TX H'!C15+'[1]07.BSMT'!C27+'[1]07.BSMT'!C28+'[1]07.BSMT'!C37+'[1]07.BSMT'!C45</f>
        <v>22416</v>
      </c>
      <c r="S50" s="53">
        <f>'[1]Chi TX XA'!C15</f>
        <v>10137</v>
      </c>
      <c r="T50" s="53">
        <f>P50+30000</f>
        <v>350004</v>
      </c>
      <c r="U50" s="53">
        <v>310000</v>
      </c>
      <c r="V50" s="53">
        <f t="shared" si="14"/>
        <v>316200</v>
      </c>
      <c r="W50" s="53">
        <f t="shared" si="14"/>
        <v>322524</v>
      </c>
      <c r="X50" s="53">
        <f t="shared" si="14"/>
        <v>328974.48</v>
      </c>
      <c r="Y50" s="61">
        <f t="shared" si="9"/>
        <v>77018</v>
      </c>
      <c r="Z50" s="61">
        <f t="shared" si="10"/>
        <v>72364</v>
      </c>
      <c r="AA50" s="61">
        <f t="shared" si="10"/>
        <v>4654</v>
      </c>
      <c r="AB50" s="61">
        <f t="shared" si="10"/>
        <v>0</v>
      </c>
      <c r="AC50" s="40"/>
      <c r="AD50" s="40"/>
      <c r="AE50" s="40"/>
      <c r="AF50" s="40"/>
      <c r="AG50" s="40"/>
      <c r="AH50" s="40"/>
      <c r="AI50" s="40"/>
      <c r="AJ50" s="41"/>
      <c r="AK50" s="39">
        <v>60000</v>
      </c>
      <c r="AL50" s="74">
        <f t="shared" si="3"/>
        <v>0.18749765627929652</v>
      </c>
      <c r="AM50" s="74">
        <f t="shared" si="4"/>
        <v>0.631578947368421</v>
      </c>
      <c r="AN50" s="54">
        <v>288003.60000000003</v>
      </c>
    </row>
    <row r="51" spans="1:40" ht="18" customHeight="1">
      <c r="A51" s="32" t="s">
        <v>87</v>
      </c>
      <c r="B51" s="58" t="s">
        <v>88</v>
      </c>
      <c r="C51" s="50"/>
      <c r="D51" s="58">
        <v>44784</v>
      </c>
      <c r="E51" s="59">
        <v>64426</v>
      </c>
      <c r="F51" s="59">
        <v>23096</v>
      </c>
      <c r="G51" s="52">
        <f t="shared" si="12"/>
        <v>114799</v>
      </c>
      <c r="H51" s="52">
        <v>34363</v>
      </c>
      <c r="I51" s="52">
        <v>100987</v>
      </c>
      <c r="J51" s="52">
        <v>6000</v>
      </c>
      <c r="K51" s="52">
        <v>7812</v>
      </c>
      <c r="L51" s="73">
        <v>101227</v>
      </c>
      <c r="M51" s="52"/>
      <c r="N51" s="52"/>
      <c r="O51" s="52">
        <v>25000</v>
      </c>
      <c r="P51" s="53">
        <f t="shared" si="13"/>
        <v>155521</v>
      </c>
      <c r="Q51" s="53">
        <f>'[1]04b.TX'!L11</f>
        <v>141709</v>
      </c>
      <c r="R51" s="53">
        <f>'[1]Chi TX H'!C16</f>
        <v>6000</v>
      </c>
      <c r="S51" s="53">
        <f>'[1]Chi TX XA'!C16</f>
        <v>7812</v>
      </c>
      <c r="T51" s="53">
        <v>162000</v>
      </c>
      <c r="U51" s="53">
        <v>165000</v>
      </c>
      <c r="V51" s="53">
        <f t="shared" si="14"/>
        <v>168300</v>
      </c>
      <c r="W51" s="53">
        <f t="shared" si="14"/>
        <v>171666</v>
      </c>
      <c r="X51" s="53">
        <f t="shared" si="14"/>
        <v>175099.32</v>
      </c>
      <c r="Y51" s="61">
        <f t="shared" si="9"/>
        <v>40722</v>
      </c>
      <c r="Z51" s="61">
        <f aca="true" t="shared" si="15" ref="Z51:AB74">Q51-I51</f>
        <v>40722</v>
      </c>
      <c r="AA51" s="61">
        <f t="shared" si="15"/>
        <v>0</v>
      </c>
      <c r="AB51" s="61">
        <f t="shared" si="15"/>
        <v>0</v>
      </c>
      <c r="AC51" s="40"/>
      <c r="AD51" s="40"/>
      <c r="AE51" s="40"/>
      <c r="AF51" s="40"/>
      <c r="AG51" s="40"/>
      <c r="AH51" s="40"/>
      <c r="AI51" s="40"/>
      <c r="AJ51" s="41"/>
      <c r="AK51" s="39">
        <v>48000</v>
      </c>
      <c r="AL51" s="74">
        <f t="shared" si="3"/>
        <v>0.3086399907408003</v>
      </c>
      <c r="AM51" s="74">
        <f t="shared" si="4"/>
        <v>1.92</v>
      </c>
      <c r="AN51" s="54">
        <v>147744.94999999998</v>
      </c>
    </row>
    <row r="52" spans="1:40" ht="18" customHeight="1">
      <c r="A52" s="32" t="s">
        <v>89</v>
      </c>
      <c r="B52" s="58" t="s">
        <v>90</v>
      </c>
      <c r="C52" s="50"/>
      <c r="D52" s="58">
        <v>68376</v>
      </c>
      <c r="E52" s="59">
        <v>76279</v>
      </c>
      <c r="F52" s="59">
        <v>34342</v>
      </c>
      <c r="G52" s="52">
        <f t="shared" si="12"/>
        <v>80977</v>
      </c>
      <c r="H52" s="52">
        <v>29830</v>
      </c>
      <c r="I52" s="52">
        <v>73937</v>
      </c>
      <c r="J52" s="52">
        <v>3890</v>
      </c>
      <c r="K52" s="52">
        <v>3150</v>
      </c>
      <c r="L52" s="73">
        <v>46167</v>
      </c>
      <c r="M52" s="52"/>
      <c r="N52" s="52"/>
      <c r="O52" s="52">
        <v>25000</v>
      </c>
      <c r="P52" s="53">
        <f t="shared" si="13"/>
        <v>89700</v>
      </c>
      <c r="Q52" s="53">
        <f>'[1]04b.TX'!M11</f>
        <v>82660</v>
      </c>
      <c r="R52" s="53">
        <f>'[1]Chi TX H'!C17</f>
        <v>3890</v>
      </c>
      <c r="S52" s="53">
        <f>'[1]Chi TX XA'!C17</f>
        <v>3150</v>
      </c>
      <c r="T52" s="53">
        <v>115000</v>
      </c>
      <c r="U52" s="53">
        <v>120000</v>
      </c>
      <c r="V52" s="53">
        <f t="shared" si="14"/>
        <v>122400</v>
      </c>
      <c r="W52" s="53">
        <f t="shared" si="14"/>
        <v>124848</v>
      </c>
      <c r="X52" s="53">
        <f t="shared" si="14"/>
        <v>127344.96</v>
      </c>
      <c r="Y52" s="61">
        <f t="shared" si="9"/>
        <v>8723</v>
      </c>
      <c r="Z52" s="61">
        <f t="shared" si="15"/>
        <v>8723</v>
      </c>
      <c r="AA52" s="61">
        <f t="shared" si="15"/>
        <v>0</v>
      </c>
      <c r="AB52" s="61">
        <f t="shared" si="15"/>
        <v>0</v>
      </c>
      <c r="AC52" s="40"/>
      <c r="AD52" s="40"/>
      <c r="AE52" s="40"/>
      <c r="AF52" s="40"/>
      <c r="AG52" s="40"/>
      <c r="AH52" s="40"/>
      <c r="AI52" s="40"/>
      <c r="AJ52" s="41"/>
      <c r="AK52" s="39">
        <v>15000</v>
      </c>
      <c r="AL52" s="74">
        <f t="shared" si="3"/>
        <v>0.16722408026755853</v>
      </c>
      <c r="AM52" s="74">
        <f t="shared" si="4"/>
        <v>0.6</v>
      </c>
      <c r="AN52" s="54">
        <v>85215</v>
      </c>
    </row>
    <row r="53" spans="1:40" ht="18" customHeight="1">
      <c r="A53" s="32" t="s">
        <v>91</v>
      </c>
      <c r="B53" s="58" t="s">
        <v>92</v>
      </c>
      <c r="C53" s="50"/>
      <c r="D53" s="58">
        <v>536870</v>
      </c>
      <c r="E53" s="59">
        <v>282757</v>
      </c>
      <c r="F53" s="59">
        <v>194434</v>
      </c>
      <c r="G53" s="52">
        <f t="shared" si="12"/>
        <v>628138</v>
      </c>
      <c r="H53" s="52">
        <v>243717</v>
      </c>
      <c r="I53" s="52">
        <v>361340</v>
      </c>
      <c r="J53" s="52">
        <v>257069</v>
      </c>
      <c r="K53" s="52">
        <v>9729</v>
      </c>
      <c r="L53" s="73">
        <v>345579</v>
      </c>
      <c r="M53" s="52">
        <v>644095</v>
      </c>
      <c r="N53" s="52"/>
      <c r="O53" s="52">
        <v>180000</v>
      </c>
      <c r="P53" s="53">
        <f>SUM(Q53:S53)</f>
        <v>645595</v>
      </c>
      <c r="Q53" s="53">
        <f>'[1]04b.TX'!P11</f>
        <v>354112</v>
      </c>
      <c r="R53" s="53">
        <f>'[1]Chi TX H'!C23+'[1]07.BSMT'!C60</f>
        <v>281754</v>
      </c>
      <c r="S53" s="53">
        <f>'[1]Chi TX XA'!C23</f>
        <v>9729</v>
      </c>
      <c r="T53" s="53">
        <f>P53+100000</f>
        <v>745595</v>
      </c>
      <c r="U53" s="53">
        <v>750000</v>
      </c>
      <c r="V53" s="53">
        <f t="shared" si="14"/>
        <v>765000</v>
      </c>
      <c r="W53" s="53">
        <f t="shared" si="14"/>
        <v>780300</v>
      </c>
      <c r="X53" s="53">
        <f t="shared" si="14"/>
        <v>795906</v>
      </c>
      <c r="Y53" s="61">
        <f t="shared" si="9"/>
        <v>17457</v>
      </c>
      <c r="Z53" s="61">
        <f t="shared" si="15"/>
        <v>-7228</v>
      </c>
      <c r="AA53" s="61">
        <f t="shared" si="15"/>
        <v>24685</v>
      </c>
      <c r="AB53" s="61">
        <f t="shared" si="15"/>
        <v>0</v>
      </c>
      <c r="AC53" s="40"/>
      <c r="AD53" s="40"/>
      <c r="AE53" s="40"/>
      <c r="AF53" s="40"/>
      <c r="AG53" s="40"/>
      <c r="AH53" s="40"/>
      <c r="AI53" s="40"/>
      <c r="AJ53" s="41"/>
      <c r="AK53" s="39">
        <v>160000</v>
      </c>
      <c r="AL53" s="74">
        <f t="shared" si="3"/>
        <v>0.24783339400088292</v>
      </c>
      <c r="AM53" s="74">
        <f t="shared" si="4"/>
        <v>0.8888888888888888</v>
      </c>
      <c r="AN53" s="54">
        <f>645595-200000</f>
        <v>445595</v>
      </c>
    </row>
    <row r="54" spans="1:40" ht="18" customHeight="1">
      <c r="A54" s="32" t="s">
        <v>93</v>
      </c>
      <c r="B54" s="58" t="s">
        <v>69</v>
      </c>
      <c r="C54" s="50"/>
      <c r="D54" s="58">
        <v>1663403</v>
      </c>
      <c r="E54" s="59">
        <f>1167933+57962</f>
        <v>1225895</v>
      </c>
      <c r="F54" s="59">
        <v>720342</v>
      </c>
      <c r="G54" s="52">
        <f t="shared" si="12"/>
        <v>2032861</v>
      </c>
      <c r="H54" s="52">
        <v>781668</v>
      </c>
      <c r="I54" s="52">
        <v>1466786</v>
      </c>
      <c r="J54" s="52">
        <v>526519</v>
      </c>
      <c r="K54" s="52">
        <v>39556</v>
      </c>
      <c r="L54" s="73">
        <f>1592842-317300</f>
        <v>1275542</v>
      </c>
      <c r="M54" s="52"/>
      <c r="N54" s="52"/>
      <c r="O54" s="52">
        <v>620000</v>
      </c>
      <c r="P54" s="53">
        <f t="shared" si="13"/>
        <v>2112537</v>
      </c>
      <c r="Q54" s="53">
        <f>'[1]04b.TX'!O11</f>
        <v>1469108</v>
      </c>
      <c r="R54" s="53">
        <f>'[1]Chi TX H'!C21+'[1]07.BSMT'!C22+'[1]07.BSMT'!C23+'[1]07.BSMT'!C25+'[1]07.BSMT'!C26+'[1]07.BSMT'!C39+'[1]07.BSMT'!C40+'[1]07.BSMT'!C38+'[1]07.BSMT'!C42</f>
        <v>600957</v>
      </c>
      <c r="S54" s="53">
        <f>'[1]Chi TX XA'!C21+'[1]07.BSMT'!C48+'[1]07.BSMT'!C49</f>
        <v>42472</v>
      </c>
      <c r="T54" s="53">
        <v>2400000</v>
      </c>
      <c r="U54" s="53">
        <v>2450000</v>
      </c>
      <c r="V54" s="53">
        <f>U54*1.02</f>
        <v>2499000</v>
      </c>
      <c r="W54" s="53">
        <f t="shared" si="14"/>
        <v>2548980</v>
      </c>
      <c r="X54" s="53">
        <f>W54*1.02</f>
        <v>2599959.6</v>
      </c>
      <c r="Y54" s="61">
        <f t="shared" si="9"/>
        <v>79676</v>
      </c>
      <c r="Z54" s="61">
        <f t="shared" si="15"/>
        <v>2322</v>
      </c>
      <c r="AA54" s="61">
        <f t="shared" si="15"/>
        <v>74438</v>
      </c>
      <c r="AB54" s="61">
        <f t="shared" si="15"/>
        <v>2916</v>
      </c>
      <c r="AC54" s="40"/>
      <c r="AD54" s="40"/>
      <c r="AE54" s="40"/>
      <c r="AF54" s="40"/>
      <c r="AG54" s="40"/>
      <c r="AH54" s="40"/>
      <c r="AI54" s="40"/>
      <c r="AJ54" s="41"/>
      <c r="AK54" s="39">
        <v>400000</v>
      </c>
      <c r="AL54" s="74">
        <f t="shared" si="3"/>
        <v>0.1893457960736309</v>
      </c>
      <c r="AM54" s="74">
        <f t="shared" si="4"/>
        <v>0.6451612903225806</v>
      </c>
      <c r="AN54" s="54">
        <v>1895656.45</v>
      </c>
    </row>
    <row r="55" spans="1:40" ht="18" customHeight="1">
      <c r="A55" s="32" t="s">
        <v>94</v>
      </c>
      <c r="B55" s="58" t="s">
        <v>71</v>
      </c>
      <c r="C55" s="50"/>
      <c r="D55" s="58">
        <v>969455.3076923077</v>
      </c>
      <c r="E55" s="59">
        <f>1156657-50391</f>
        <v>1106266</v>
      </c>
      <c r="F55" s="59">
        <v>503147</v>
      </c>
      <c r="G55" s="52">
        <f t="shared" si="12"/>
        <v>1015669</v>
      </c>
      <c r="H55" s="52">
        <v>889697</v>
      </c>
      <c r="I55" s="52">
        <v>361449</v>
      </c>
      <c r="J55" s="52">
        <v>201592</v>
      </c>
      <c r="K55" s="52">
        <v>452628</v>
      </c>
      <c r="L55" s="73">
        <v>1187659</v>
      </c>
      <c r="M55" s="52"/>
      <c r="N55" s="52"/>
      <c r="O55" s="52">
        <v>550000</v>
      </c>
      <c r="P55" s="53">
        <f t="shared" si="13"/>
        <v>1084793</v>
      </c>
      <c r="Q55" s="53">
        <f>'[1]04b.TX'!Q11</f>
        <v>401136</v>
      </c>
      <c r="R55" s="53">
        <f>'[1]Chi TX H'!C14+'[1]07.BSMT'!C36+'[1]07.BSMT'!C21+'[1]06a.06b chi HX'!C34+'[1]06a.06b chi HX'!C45-'[1]06a.06b chi HX'!C42</f>
        <v>231233</v>
      </c>
      <c r="S55" s="53">
        <f>'[1]Chi TX XA'!C14+'[1]07.BSMT'!C47+'[1]06a.06b chi HX'!C87-'[1]CCTL'!K8</f>
        <v>452424</v>
      </c>
      <c r="T55" s="53">
        <v>1500000</v>
      </c>
      <c r="U55" s="53">
        <v>1450000</v>
      </c>
      <c r="V55" s="53">
        <f aca="true" t="shared" si="16" ref="V55:X56">U55*1.02</f>
        <v>1479000</v>
      </c>
      <c r="W55" s="53">
        <f t="shared" si="14"/>
        <v>1508580</v>
      </c>
      <c r="X55" s="53">
        <f t="shared" si="16"/>
        <v>1538751.6</v>
      </c>
      <c r="Y55" s="61">
        <f t="shared" si="9"/>
        <v>69124</v>
      </c>
      <c r="Z55" s="61">
        <f t="shared" si="15"/>
        <v>39687</v>
      </c>
      <c r="AA55" s="61">
        <f t="shared" si="15"/>
        <v>29641</v>
      </c>
      <c r="AB55" s="61">
        <f t="shared" si="15"/>
        <v>-204</v>
      </c>
      <c r="AC55" s="40"/>
      <c r="AD55" s="40"/>
      <c r="AE55" s="40"/>
      <c r="AF55" s="40"/>
      <c r="AG55" s="40"/>
      <c r="AH55" s="40"/>
      <c r="AI55" s="40"/>
      <c r="AJ55" s="41"/>
      <c r="AK55" s="39">
        <v>550000</v>
      </c>
      <c r="AL55" s="74">
        <f t="shared" si="3"/>
        <v>0.507009171334992</v>
      </c>
      <c r="AM55" s="74">
        <f t="shared" si="4"/>
        <v>1</v>
      </c>
      <c r="AN55" s="54">
        <v>1030553.35</v>
      </c>
    </row>
    <row r="56" spans="1:40" ht="18" customHeight="1">
      <c r="A56" s="32" t="s">
        <v>95</v>
      </c>
      <c r="B56" s="58" t="s">
        <v>73</v>
      </c>
      <c r="C56" s="50"/>
      <c r="D56" s="58">
        <v>411212.9</v>
      </c>
      <c r="E56" s="59">
        <v>463231</v>
      </c>
      <c r="F56" s="59">
        <v>183782</v>
      </c>
      <c r="G56" s="52">
        <f t="shared" si="12"/>
        <v>401742</v>
      </c>
      <c r="H56" s="52">
        <v>493572</v>
      </c>
      <c r="I56" s="52">
        <v>72634</v>
      </c>
      <c r="J56" s="52">
        <v>278941</v>
      </c>
      <c r="K56" s="52">
        <v>50167</v>
      </c>
      <c r="L56" s="73">
        <v>586612</v>
      </c>
      <c r="M56" s="52"/>
      <c r="N56" s="52"/>
      <c r="O56" s="52">
        <v>286000</v>
      </c>
      <c r="P56" s="53">
        <f t="shared" si="13"/>
        <v>488182</v>
      </c>
      <c r="Q56" s="53">
        <f>'[1]04b.TX'!N11</f>
        <v>104515</v>
      </c>
      <c r="R56" s="53">
        <f>'[1]Chi TX H'!C18+'[1]07.BSMT'!C18+'[1]07.BSMT'!C19+'[1]07.BSMT'!C20+'[1]07.BSMT'!C43</f>
        <v>333500</v>
      </c>
      <c r="S56" s="53">
        <f>'[1]Chi TX XA'!C18</f>
        <v>50167</v>
      </c>
      <c r="T56" s="53">
        <f>P56+30000</f>
        <v>518182</v>
      </c>
      <c r="U56" s="53">
        <f>520000+60002</f>
        <v>580002</v>
      </c>
      <c r="V56" s="53">
        <f t="shared" si="16"/>
        <v>591602.04</v>
      </c>
      <c r="W56" s="53">
        <f t="shared" si="14"/>
        <v>603434.0808</v>
      </c>
      <c r="X56" s="53">
        <f t="shared" si="16"/>
        <v>615502.762416</v>
      </c>
      <c r="Y56" s="61">
        <f t="shared" si="9"/>
        <v>86440</v>
      </c>
      <c r="Z56" s="61">
        <f t="shared" si="15"/>
        <v>31881</v>
      </c>
      <c r="AA56" s="61">
        <f t="shared" si="15"/>
        <v>54559</v>
      </c>
      <c r="AB56" s="61">
        <f t="shared" si="15"/>
        <v>0</v>
      </c>
      <c r="AC56" s="40"/>
      <c r="AD56" s="40"/>
      <c r="AE56" s="40"/>
      <c r="AF56" s="40"/>
      <c r="AG56" s="40"/>
      <c r="AH56" s="40"/>
      <c r="AI56" s="40"/>
      <c r="AJ56" s="41"/>
      <c r="AK56" s="39">
        <v>420000</v>
      </c>
      <c r="AL56" s="74">
        <f t="shared" si="3"/>
        <v>0.860334875108054</v>
      </c>
      <c r="AM56" s="74">
        <f t="shared" si="4"/>
        <v>1.4685314685314685</v>
      </c>
      <c r="AN56" s="54">
        <v>463772.89999999997</v>
      </c>
    </row>
    <row r="57" spans="1:40" ht="18" customHeight="1">
      <c r="A57" s="32" t="s">
        <v>96</v>
      </c>
      <c r="B57" s="58" t="s">
        <v>75</v>
      </c>
      <c r="C57" s="50"/>
      <c r="D57" s="58">
        <v>404617</v>
      </c>
      <c r="E57" s="59">
        <v>365797</v>
      </c>
      <c r="F57" s="59">
        <v>176567</v>
      </c>
      <c r="G57" s="52">
        <f>SUM(I57:K57)</f>
        <v>538978</v>
      </c>
      <c r="H57" s="52">
        <v>159138</v>
      </c>
      <c r="I57" s="52">
        <v>452083</v>
      </c>
      <c r="J57" s="52">
        <v>74075</v>
      </c>
      <c r="K57" s="52">
        <v>12820</v>
      </c>
      <c r="L57" s="52">
        <f>130380+29662+90493+10766+36498+3346</f>
        <v>301145</v>
      </c>
      <c r="M57" s="52"/>
      <c r="N57" s="52"/>
      <c r="O57" s="52">
        <v>192000</v>
      </c>
      <c r="P57" s="53">
        <f t="shared" si="13"/>
        <v>500572</v>
      </c>
      <c r="Q57" s="53">
        <f>'[1]04b.TX'!R11</f>
        <v>379086</v>
      </c>
      <c r="R57" s="53">
        <f>'[1]Chi TX H'!C22+'[1]Chi TX H'!C24+'[1]Chi TX H'!C25</f>
        <v>101472</v>
      </c>
      <c r="S57" s="53">
        <f>'[1]Chi TX XA'!C22+'[1]Chi TX XA'!C24+'[1]Chi TX XA'!C25</f>
        <v>20014</v>
      </c>
      <c r="T57" s="53">
        <f>470000+129918-5657+915-156-1495</f>
        <v>593525</v>
      </c>
      <c r="U57" s="53">
        <f>470000+52960+32</f>
        <v>522992</v>
      </c>
      <c r="V57" s="53">
        <f>U57*1.02+7613</f>
        <v>541064.84</v>
      </c>
      <c r="W57" s="53">
        <f>V57*1.02+8200</f>
        <v>560086.1368</v>
      </c>
      <c r="X57" s="53">
        <f>W57*1.02+8830</f>
        <v>580117.859536</v>
      </c>
      <c r="Y57" s="61">
        <f t="shared" si="9"/>
        <v>-38406</v>
      </c>
      <c r="Z57" s="61">
        <f t="shared" si="15"/>
        <v>-72997</v>
      </c>
      <c r="AA57" s="61">
        <f t="shared" si="15"/>
        <v>27397</v>
      </c>
      <c r="AB57" s="61">
        <f t="shared" si="15"/>
        <v>7194</v>
      </c>
      <c r="AC57" s="40"/>
      <c r="AD57" s="40"/>
      <c r="AE57" s="40"/>
      <c r="AF57" s="40"/>
      <c r="AG57" s="40"/>
      <c r="AH57" s="40"/>
      <c r="AI57" s="40"/>
      <c r="AJ57" s="41"/>
      <c r="AK57" s="39">
        <f>65000+21000+98597</f>
        <v>184597</v>
      </c>
      <c r="AL57" s="74">
        <f t="shared" si="3"/>
        <v>0.3687721246893554</v>
      </c>
      <c r="AM57" s="74">
        <f t="shared" si="4"/>
        <v>0.9614427083333333</v>
      </c>
      <c r="AN57" s="54">
        <v>303457.6</v>
      </c>
    </row>
    <row r="58" spans="1:40" s="25" customFormat="1" ht="18" customHeight="1">
      <c r="A58" s="26">
        <v>3</v>
      </c>
      <c r="B58" s="43" t="s">
        <v>97</v>
      </c>
      <c r="C58" s="43">
        <v>49900</v>
      </c>
      <c r="D58" s="43">
        <v>67100</v>
      </c>
      <c r="E58" s="55">
        <v>49851</v>
      </c>
      <c r="F58" s="55">
        <v>2511</v>
      </c>
      <c r="G58" s="45">
        <f>'[1]10.vay'!C51</f>
        <v>41800</v>
      </c>
      <c r="H58" s="45">
        <v>38023</v>
      </c>
      <c r="I58" s="45">
        <f>G58</f>
        <v>41800</v>
      </c>
      <c r="J58" s="45"/>
      <c r="K58" s="45"/>
      <c r="L58" s="45">
        <f>'[1]10.vay'!D51</f>
        <v>38023</v>
      </c>
      <c r="M58" s="45">
        <v>20200</v>
      </c>
      <c r="N58" s="45">
        <v>20200</v>
      </c>
      <c r="O58" s="45">
        <v>25000</v>
      </c>
      <c r="P58" s="56">
        <v>20200</v>
      </c>
      <c r="Q58" s="56">
        <f>P58</f>
        <v>20200</v>
      </c>
      <c r="R58" s="56"/>
      <c r="S58" s="56"/>
      <c r="T58" s="56">
        <f>'[1]10.vay'!G51</f>
        <v>6050</v>
      </c>
      <c r="U58" s="56">
        <f>'[1]10.vay'!H51</f>
        <v>46468</v>
      </c>
      <c r="V58" s="56">
        <f>U58</f>
        <v>46468</v>
      </c>
      <c r="W58" s="56">
        <f>V58</f>
        <v>46468</v>
      </c>
      <c r="X58" s="56">
        <f>W58</f>
        <v>46468</v>
      </c>
      <c r="Y58" s="61">
        <f t="shared" si="9"/>
        <v>-21600</v>
      </c>
      <c r="Z58" s="61">
        <f t="shared" si="15"/>
        <v>-21600</v>
      </c>
      <c r="AA58" s="61">
        <f t="shared" si="15"/>
        <v>0</v>
      </c>
      <c r="AB58" s="61">
        <f t="shared" si="15"/>
        <v>0</v>
      </c>
      <c r="AC58" s="62"/>
      <c r="AD58" s="62"/>
      <c r="AE58" s="62"/>
      <c r="AF58" s="62"/>
      <c r="AG58" s="62"/>
      <c r="AH58" s="62"/>
      <c r="AI58" s="62"/>
      <c r="AJ58" s="63"/>
      <c r="AK58" s="56">
        <v>1912</v>
      </c>
      <c r="AL58" s="46">
        <f t="shared" si="3"/>
        <v>0.09465346534653465</v>
      </c>
      <c r="AM58" s="46">
        <f t="shared" si="4"/>
        <v>0.07648</v>
      </c>
      <c r="AN58" s="47">
        <f>P58</f>
        <v>20200</v>
      </c>
    </row>
    <row r="59" spans="1:40" s="25" customFormat="1" ht="19.5" customHeight="1">
      <c r="A59" s="26">
        <v>4</v>
      </c>
      <c r="B59" s="43" t="s">
        <v>98</v>
      </c>
      <c r="C59" s="43">
        <v>1000</v>
      </c>
      <c r="D59" s="43">
        <v>1000</v>
      </c>
      <c r="E59" s="55">
        <v>1000</v>
      </c>
      <c r="F59" s="55">
        <v>1000</v>
      </c>
      <c r="G59" s="45">
        <v>1000</v>
      </c>
      <c r="H59" s="45">
        <v>1000</v>
      </c>
      <c r="I59" s="45">
        <f>G59</f>
        <v>1000</v>
      </c>
      <c r="J59" s="45"/>
      <c r="K59" s="45"/>
      <c r="L59" s="45">
        <v>1000</v>
      </c>
      <c r="M59" s="45">
        <v>1000</v>
      </c>
      <c r="N59" s="45">
        <v>1000</v>
      </c>
      <c r="O59" s="45"/>
      <c r="P59" s="56">
        <v>1000</v>
      </c>
      <c r="Q59" s="56">
        <f>P59</f>
        <v>1000</v>
      </c>
      <c r="R59" s="56"/>
      <c r="S59" s="56"/>
      <c r="T59" s="56">
        <v>1000</v>
      </c>
      <c r="U59" s="56">
        <v>1000</v>
      </c>
      <c r="V59" s="56">
        <v>1000</v>
      </c>
      <c r="W59" s="56">
        <v>1000</v>
      </c>
      <c r="X59" s="56">
        <v>1000</v>
      </c>
      <c r="Y59" s="61">
        <f t="shared" si="9"/>
        <v>0</v>
      </c>
      <c r="Z59" s="61">
        <f t="shared" si="15"/>
        <v>0</v>
      </c>
      <c r="AA59" s="61">
        <f t="shared" si="15"/>
        <v>0</v>
      </c>
      <c r="AB59" s="61">
        <f t="shared" si="15"/>
        <v>0</v>
      </c>
      <c r="AC59" s="62"/>
      <c r="AD59" s="62"/>
      <c r="AE59" s="62"/>
      <c r="AF59" s="62"/>
      <c r="AG59" s="62"/>
      <c r="AH59" s="62"/>
      <c r="AI59" s="62"/>
      <c r="AJ59" s="63"/>
      <c r="AK59" s="56">
        <v>1000</v>
      </c>
      <c r="AL59" s="46">
        <f t="shared" si="3"/>
        <v>1</v>
      </c>
      <c r="AM59" s="46"/>
      <c r="AN59" s="47">
        <v>1000</v>
      </c>
    </row>
    <row r="60" spans="1:40" s="25" customFormat="1" ht="19.5" customHeight="1">
      <c r="A60" s="26">
        <v>5</v>
      </c>
      <c r="B60" s="43" t="s">
        <v>99</v>
      </c>
      <c r="C60" s="43"/>
      <c r="D60" s="43">
        <v>306090</v>
      </c>
      <c r="E60" s="55"/>
      <c r="F60" s="55"/>
      <c r="G60" s="45">
        <v>437160</v>
      </c>
      <c r="H60" s="45"/>
      <c r="I60" s="45">
        <v>357372</v>
      </c>
      <c r="J60" s="45">
        <v>62571</v>
      </c>
      <c r="K60" s="45">
        <v>17217</v>
      </c>
      <c r="L60" s="45"/>
      <c r="M60" s="45">
        <v>477060</v>
      </c>
      <c r="N60" s="45">
        <v>477060</v>
      </c>
      <c r="O60" s="45"/>
      <c r="P60" s="56">
        <v>477060</v>
      </c>
      <c r="Q60" s="56">
        <f>P60-R60-S60</f>
        <v>352963</v>
      </c>
      <c r="R60" s="56">
        <f>'[1]06a.06b chi HX'!C51</f>
        <v>104378</v>
      </c>
      <c r="S60" s="56">
        <f>'[1]06a.06b chi HX'!C92</f>
        <v>19719</v>
      </c>
      <c r="T60" s="56">
        <v>370000</v>
      </c>
      <c r="U60" s="56">
        <v>400000</v>
      </c>
      <c r="V60" s="56">
        <v>430000</v>
      </c>
      <c r="W60" s="56">
        <v>470000</v>
      </c>
      <c r="X60" s="56">
        <v>500000</v>
      </c>
      <c r="Y60" s="61">
        <f t="shared" si="9"/>
        <v>39900</v>
      </c>
      <c r="Z60" s="61">
        <f t="shared" si="15"/>
        <v>-4409</v>
      </c>
      <c r="AA60" s="61">
        <f t="shared" si="15"/>
        <v>41807</v>
      </c>
      <c r="AB60" s="61">
        <f t="shared" si="15"/>
        <v>2502</v>
      </c>
      <c r="AC60" s="62"/>
      <c r="AD60" s="62"/>
      <c r="AE60" s="62"/>
      <c r="AF60" s="62"/>
      <c r="AG60" s="62"/>
      <c r="AH60" s="62"/>
      <c r="AI60" s="62"/>
      <c r="AJ60" s="63"/>
      <c r="AK60" s="56"/>
      <c r="AL60" s="46"/>
      <c r="AM60" s="46"/>
      <c r="AN60" s="47"/>
    </row>
    <row r="61" spans="1:40" s="25" customFormat="1" ht="19.5" customHeight="1">
      <c r="A61" s="26">
        <v>6</v>
      </c>
      <c r="B61" s="43" t="s">
        <v>100</v>
      </c>
      <c r="C61" s="43"/>
      <c r="D61" s="43">
        <v>1512535</v>
      </c>
      <c r="E61" s="55"/>
      <c r="F61" s="55">
        <v>500000</v>
      </c>
      <c r="G61" s="75">
        <f>1559305+398854+32330+50000</f>
        <v>2040489</v>
      </c>
      <c r="H61" s="75"/>
      <c r="I61" s="75">
        <v>1808513</v>
      </c>
      <c r="J61" s="75">
        <v>162366</v>
      </c>
      <c r="K61" s="75">
        <v>69610</v>
      </c>
      <c r="L61" s="75"/>
      <c r="M61" s="75">
        <v>2706189</v>
      </c>
      <c r="N61" s="75">
        <f>P61</f>
        <v>2713964</v>
      </c>
      <c r="O61" s="75"/>
      <c r="P61" s="56">
        <f>2706189+7775</f>
        <v>2713964</v>
      </c>
      <c r="Q61" s="56">
        <f>P61-R61-S61</f>
        <v>2405549</v>
      </c>
      <c r="R61" s="56">
        <f>'[1]06a.06b chi HX'!C50</f>
        <v>189850</v>
      </c>
      <c r="S61" s="56">
        <f>'[1]06a.06b chi HX'!C91</f>
        <v>118565</v>
      </c>
      <c r="T61" s="56"/>
      <c r="U61" s="56">
        <f>(('[1]01a.CĐ'!M14-'[1]02a.Thu'!Z56)-('[1]01a.CĐ'!L14-'[1]02a.Thu'!Y56))/2</f>
        <v>443605.6160000004</v>
      </c>
      <c r="V61" s="56">
        <f>(('[1]01a.CĐ'!N14-'[1]02a.Thu'!AA56)-('[1]01a.CĐ'!L14-'[1]02a.Thu'!Y56))/2</f>
        <v>921455.6319999993</v>
      </c>
      <c r="W61" s="56">
        <f>(('[1]01a.CĐ'!O14-'[1]02a.Thu'!AB56)-('[1]01a.CĐ'!L14-'[1]02a.Thu'!Y56))/2</f>
        <v>1436415.4560000002</v>
      </c>
      <c r="X61" s="56">
        <f>(('[1]01a.CĐ'!P14-'[1]02a.Thu'!AC56)-('[1]01a.CĐ'!L14-'[1]02a.Thu'!Y56))/2</f>
        <v>1970706.688000001</v>
      </c>
      <c r="Y61" s="61">
        <f t="shared" si="9"/>
        <v>673475</v>
      </c>
      <c r="Z61" s="61">
        <f t="shared" si="15"/>
        <v>597036</v>
      </c>
      <c r="AA61" s="61">
        <f t="shared" si="15"/>
        <v>27484</v>
      </c>
      <c r="AB61" s="61">
        <f t="shared" si="15"/>
        <v>48955</v>
      </c>
      <c r="AC61" s="62"/>
      <c r="AD61" s="62"/>
      <c r="AE61" s="62"/>
      <c r="AF61" s="62"/>
      <c r="AG61" s="62"/>
      <c r="AH61" s="62"/>
      <c r="AI61" s="62"/>
      <c r="AJ61" s="63"/>
      <c r="AK61" s="56"/>
      <c r="AL61" s="46"/>
      <c r="AM61" s="46"/>
      <c r="AN61" s="47"/>
    </row>
    <row r="62" spans="1:40" s="25" customFormat="1" ht="19.5" customHeight="1" hidden="1">
      <c r="A62" s="26"/>
      <c r="B62" s="43" t="s">
        <v>101</v>
      </c>
      <c r="C62" s="43"/>
      <c r="D62" s="43"/>
      <c r="E62" s="55"/>
      <c r="F62" s="55"/>
      <c r="G62" s="75"/>
      <c r="H62" s="75"/>
      <c r="I62" s="75"/>
      <c r="J62" s="75"/>
      <c r="K62" s="75"/>
      <c r="L62" s="75"/>
      <c r="M62" s="75"/>
      <c r="N62" s="75"/>
      <c r="O62" s="75"/>
      <c r="P62" s="56">
        <v>7775</v>
      </c>
      <c r="Q62" s="56"/>
      <c r="R62" s="56"/>
      <c r="S62" s="56"/>
      <c r="T62" s="56"/>
      <c r="U62" s="56"/>
      <c r="V62" s="56"/>
      <c r="W62" s="56"/>
      <c r="X62" s="56"/>
      <c r="Y62" s="61">
        <f t="shared" si="9"/>
        <v>7775</v>
      </c>
      <c r="Z62" s="61">
        <f t="shared" si="15"/>
        <v>0</v>
      </c>
      <c r="AA62" s="61">
        <f t="shared" si="15"/>
        <v>0</v>
      </c>
      <c r="AB62" s="61">
        <f t="shared" si="15"/>
        <v>0</v>
      </c>
      <c r="AC62" s="62"/>
      <c r="AD62" s="62"/>
      <c r="AE62" s="62"/>
      <c r="AF62" s="62"/>
      <c r="AG62" s="62"/>
      <c r="AH62" s="62"/>
      <c r="AI62" s="62"/>
      <c r="AJ62" s="63"/>
      <c r="AK62" s="56"/>
      <c r="AL62" s="46">
        <f t="shared" si="3"/>
        <v>0</v>
      </c>
      <c r="AM62" s="46"/>
      <c r="AN62" s="47"/>
    </row>
    <row r="63" spans="1:40" ht="19.5" customHeight="1">
      <c r="A63" s="26">
        <v>7</v>
      </c>
      <c r="B63" s="43" t="s">
        <v>102</v>
      </c>
      <c r="C63" s="43"/>
      <c r="D63" s="43"/>
      <c r="E63" s="55">
        <v>1037</v>
      </c>
      <c r="F63" s="55"/>
      <c r="G63" s="45"/>
      <c r="H63" s="45"/>
      <c r="I63" s="45"/>
      <c r="J63" s="52"/>
      <c r="K63" s="52"/>
      <c r="L63" s="45"/>
      <c r="M63" s="45"/>
      <c r="N63" s="45"/>
      <c r="O63" s="45"/>
      <c r="P63" s="39"/>
      <c r="Q63" s="39"/>
      <c r="R63" s="39"/>
      <c r="S63" s="39"/>
      <c r="T63" s="39"/>
      <c r="U63" s="39"/>
      <c r="V63" s="39"/>
      <c r="W63" s="39"/>
      <c r="X63" s="39"/>
      <c r="Y63" s="61">
        <f>P63-G63</f>
        <v>0</v>
      </c>
      <c r="Z63" s="61">
        <f>Q63-I63</f>
        <v>0</v>
      </c>
      <c r="AA63" s="61">
        <f>R63-J63</f>
        <v>0</v>
      </c>
      <c r="AB63" s="61">
        <f>S63-K63</f>
        <v>0</v>
      </c>
      <c r="AC63" s="40"/>
      <c r="AD63" s="40"/>
      <c r="AE63" s="40"/>
      <c r="AF63" s="40"/>
      <c r="AG63" s="40"/>
      <c r="AH63" s="40"/>
      <c r="AI63" s="40"/>
      <c r="AJ63" s="41"/>
      <c r="AK63" s="39"/>
      <c r="AL63" s="46"/>
      <c r="AM63" s="46"/>
      <c r="AN63" s="54"/>
    </row>
    <row r="64" spans="1:40" s="25" customFormat="1" ht="19.5" customHeight="1">
      <c r="A64" s="26" t="s">
        <v>103</v>
      </c>
      <c r="B64" s="43" t="s">
        <v>104</v>
      </c>
      <c r="C64" s="43"/>
      <c r="D64" s="43">
        <f>SUM(D65:D67)</f>
        <v>439961</v>
      </c>
      <c r="E64" s="43">
        <f>SUM(E65:E67)</f>
        <v>0</v>
      </c>
      <c r="F64" s="43">
        <v>200000</v>
      </c>
      <c r="G64" s="45">
        <f>'[1]02a.Thu'!I105</f>
        <v>233613</v>
      </c>
      <c r="H64" s="45"/>
      <c r="I64" s="45">
        <f>'[1]02a.Thu'!L105</f>
        <v>233613</v>
      </c>
      <c r="J64" s="45"/>
      <c r="K64" s="45"/>
      <c r="L64" s="45">
        <v>447570</v>
      </c>
      <c r="M64" s="45">
        <v>459492</v>
      </c>
      <c r="N64" s="45">
        <f>M64</f>
        <v>459492</v>
      </c>
      <c r="O64" s="45"/>
      <c r="P64" s="44">
        <f>'[1]01a.CĐ'!I17</f>
        <v>459492</v>
      </c>
      <c r="Q64" s="44">
        <f>Q66+Q67</f>
        <v>455525</v>
      </c>
      <c r="R64" s="44">
        <f>R66+R67</f>
        <v>3967</v>
      </c>
      <c r="S64" s="44">
        <f>S66+S67</f>
        <v>0</v>
      </c>
      <c r="T64" s="44"/>
      <c r="U64" s="44"/>
      <c r="V64" s="44"/>
      <c r="W64" s="44"/>
      <c r="X64" s="44"/>
      <c r="Y64" s="61">
        <f t="shared" si="9"/>
        <v>225879</v>
      </c>
      <c r="Z64" s="61">
        <f t="shared" si="15"/>
        <v>221912</v>
      </c>
      <c r="AA64" s="61">
        <f t="shared" si="15"/>
        <v>3967</v>
      </c>
      <c r="AB64" s="61">
        <f t="shared" si="15"/>
        <v>0</v>
      </c>
      <c r="AC64" s="62"/>
      <c r="AD64" s="62"/>
      <c r="AE64" s="62"/>
      <c r="AF64" s="62"/>
      <c r="AG64" s="62"/>
      <c r="AH64" s="62"/>
      <c r="AI64" s="62"/>
      <c r="AJ64" s="63"/>
      <c r="AK64" s="56"/>
      <c r="AL64" s="46"/>
      <c r="AM64" s="46"/>
      <c r="AN64" s="47">
        <f>P64</f>
        <v>459492</v>
      </c>
    </row>
    <row r="65" spans="1:40" ht="19.5" customHeight="1">
      <c r="A65" s="26">
        <v>1</v>
      </c>
      <c r="B65" s="43" t="s">
        <v>105</v>
      </c>
      <c r="C65" s="43"/>
      <c r="D65" s="43">
        <v>0</v>
      </c>
      <c r="E65" s="55"/>
      <c r="F65" s="55"/>
      <c r="G65" s="52"/>
      <c r="H65" s="52"/>
      <c r="I65" s="52"/>
      <c r="J65" s="52"/>
      <c r="K65" s="52"/>
      <c r="L65" s="52"/>
      <c r="M65" s="52"/>
      <c r="N65" s="52"/>
      <c r="O65" s="52"/>
      <c r="P65" s="39"/>
      <c r="Q65" s="39"/>
      <c r="R65" s="39"/>
      <c r="S65" s="39"/>
      <c r="T65" s="39"/>
      <c r="U65" s="39"/>
      <c r="V65" s="39"/>
      <c r="W65" s="39"/>
      <c r="X65" s="39"/>
      <c r="Y65" s="61">
        <f t="shared" si="9"/>
        <v>0</v>
      </c>
      <c r="Z65" s="61">
        <f t="shared" si="15"/>
        <v>0</v>
      </c>
      <c r="AA65" s="61">
        <f t="shared" si="15"/>
        <v>0</v>
      </c>
      <c r="AB65" s="61">
        <f t="shared" si="15"/>
        <v>0</v>
      </c>
      <c r="AC65" s="40"/>
      <c r="AD65" s="40"/>
      <c r="AE65" s="40"/>
      <c r="AF65" s="40"/>
      <c r="AG65" s="40"/>
      <c r="AH65" s="40"/>
      <c r="AI65" s="40"/>
      <c r="AJ65" s="41"/>
      <c r="AK65" s="39"/>
      <c r="AL65" s="46"/>
      <c r="AM65" s="46"/>
      <c r="AN65" s="54"/>
    </row>
    <row r="66" spans="1:40" ht="19.5" customHeight="1">
      <c r="A66" s="26">
        <v>2</v>
      </c>
      <c r="B66" s="43" t="s">
        <v>106</v>
      </c>
      <c r="C66" s="43"/>
      <c r="D66" s="43">
        <v>378297</v>
      </c>
      <c r="E66" s="55"/>
      <c r="F66" s="55"/>
      <c r="G66" s="45">
        <v>130270</v>
      </c>
      <c r="H66" s="45"/>
      <c r="I66" s="45">
        <v>130270</v>
      </c>
      <c r="J66" s="52"/>
      <c r="K66" s="52"/>
      <c r="L66" s="45">
        <f>130270</f>
        <v>130270</v>
      </c>
      <c r="M66" s="45">
        <v>371900</v>
      </c>
      <c r="N66" s="45"/>
      <c r="O66" s="45"/>
      <c r="P66" s="39">
        <f>'[1]01a.CĐ'!I32</f>
        <v>371900</v>
      </c>
      <c r="Q66" s="39">
        <f>P66</f>
        <v>371900</v>
      </c>
      <c r="R66" s="39"/>
      <c r="S66" s="39"/>
      <c r="T66" s="39"/>
      <c r="U66" s="39"/>
      <c r="V66" s="39"/>
      <c r="W66" s="39"/>
      <c r="X66" s="39"/>
      <c r="Y66" s="61">
        <f t="shared" si="9"/>
        <v>241630</v>
      </c>
      <c r="Z66" s="61">
        <f t="shared" si="15"/>
        <v>241630</v>
      </c>
      <c r="AA66" s="61">
        <f t="shared" si="15"/>
        <v>0</v>
      </c>
      <c r="AB66" s="61">
        <f t="shared" si="15"/>
        <v>0</v>
      </c>
      <c r="AC66" s="40"/>
      <c r="AD66" s="40"/>
      <c r="AE66" s="40"/>
      <c r="AF66" s="40"/>
      <c r="AG66" s="40"/>
      <c r="AH66" s="40"/>
      <c r="AI66" s="40"/>
      <c r="AJ66" s="41"/>
      <c r="AK66" s="39"/>
      <c r="AL66" s="46"/>
      <c r="AM66" s="46"/>
      <c r="AN66" s="54"/>
    </row>
    <row r="67" spans="1:40" ht="19.5" customHeight="1">
      <c r="A67" s="26">
        <v>3</v>
      </c>
      <c r="B67" s="43" t="s">
        <v>107</v>
      </c>
      <c r="C67" s="43"/>
      <c r="D67" s="43">
        <v>61664</v>
      </c>
      <c r="E67" s="55"/>
      <c r="F67" s="55"/>
      <c r="G67" s="45">
        <v>103343</v>
      </c>
      <c r="H67" s="45"/>
      <c r="I67" s="45">
        <v>103343</v>
      </c>
      <c r="J67" s="52"/>
      <c r="K67" s="52"/>
      <c r="L67" s="45">
        <f>L64-L66</f>
        <v>317300</v>
      </c>
      <c r="M67" s="45">
        <v>87592</v>
      </c>
      <c r="N67" s="45"/>
      <c r="O67" s="45"/>
      <c r="P67" s="39">
        <f>'[1]01a.CĐ'!I33</f>
        <v>87592</v>
      </c>
      <c r="Q67" s="39">
        <f>P67-R67</f>
        <v>83625</v>
      </c>
      <c r="R67" s="39">
        <f>'[1]07.BSMT'!C41+'[1]07.BSMT'!C44</f>
        <v>3967</v>
      </c>
      <c r="S67" s="39"/>
      <c r="T67" s="39"/>
      <c r="U67" s="39"/>
      <c r="V67" s="39"/>
      <c r="W67" s="39"/>
      <c r="X67" s="39"/>
      <c r="Y67" s="61">
        <f t="shared" si="9"/>
        <v>-15751</v>
      </c>
      <c r="Z67" s="61">
        <f t="shared" si="15"/>
        <v>-19718</v>
      </c>
      <c r="AA67" s="61">
        <f t="shared" si="15"/>
        <v>3967</v>
      </c>
      <c r="AB67" s="61">
        <f t="shared" si="15"/>
        <v>0</v>
      </c>
      <c r="AC67" s="40"/>
      <c r="AD67" s="40"/>
      <c r="AE67" s="40"/>
      <c r="AF67" s="40"/>
      <c r="AG67" s="40"/>
      <c r="AH67" s="40"/>
      <c r="AI67" s="40"/>
      <c r="AJ67" s="41"/>
      <c r="AK67" s="39"/>
      <c r="AL67" s="46"/>
      <c r="AM67" s="46"/>
      <c r="AN67" s="54"/>
    </row>
    <row r="68" spans="1:40" ht="19.5" customHeight="1" hidden="1">
      <c r="A68" s="26" t="s">
        <v>108</v>
      </c>
      <c r="B68" s="43" t="s">
        <v>102</v>
      </c>
      <c r="C68" s="43"/>
      <c r="D68" s="43"/>
      <c r="E68" s="55"/>
      <c r="F68" s="55"/>
      <c r="G68" s="45"/>
      <c r="H68" s="45"/>
      <c r="I68" s="45"/>
      <c r="J68" s="52"/>
      <c r="K68" s="52"/>
      <c r="L68" s="45"/>
      <c r="M68" s="45"/>
      <c r="N68" s="45"/>
      <c r="O68" s="45"/>
      <c r="P68" s="39"/>
      <c r="Q68" s="39"/>
      <c r="R68" s="39"/>
      <c r="S68" s="39"/>
      <c r="T68" s="39"/>
      <c r="U68" s="39"/>
      <c r="V68" s="39"/>
      <c r="W68" s="39"/>
      <c r="X68" s="39"/>
      <c r="Y68" s="61">
        <f t="shared" si="9"/>
        <v>0</v>
      </c>
      <c r="Z68" s="61">
        <f t="shared" si="15"/>
        <v>0</v>
      </c>
      <c r="AA68" s="61">
        <f t="shared" si="15"/>
        <v>0</v>
      </c>
      <c r="AB68" s="61">
        <f t="shared" si="15"/>
        <v>0</v>
      </c>
      <c r="AC68" s="40"/>
      <c r="AD68" s="40"/>
      <c r="AE68" s="40"/>
      <c r="AF68" s="40"/>
      <c r="AG68" s="40"/>
      <c r="AH68" s="40"/>
      <c r="AI68" s="40"/>
      <c r="AJ68" s="41"/>
      <c r="AK68" s="39"/>
      <c r="AL68" s="46" t="e">
        <f t="shared" si="3"/>
        <v>#DIV/0!</v>
      </c>
      <c r="AM68" s="46"/>
      <c r="AN68" s="54"/>
    </row>
    <row r="69" spans="1:40" ht="19.5" customHeight="1">
      <c r="A69" s="26" t="s">
        <v>109</v>
      </c>
      <c r="B69" s="43" t="s">
        <v>110</v>
      </c>
      <c r="C69" s="43">
        <v>4468411</v>
      </c>
      <c r="D69" s="43"/>
      <c r="E69" s="55">
        <v>5283286</v>
      </c>
      <c r="F69" s="55"/>
      <c r="G69" s="52"/>
      <c r="H69" s="52"/>
      <c r="I69" s="52"/>
      <c r="J69" s="52"/>
      <c r="K69" s="52"/>
      <c r="L69" s="45">
        <f>5890885-233613+477+818110+233613-684841</f>
        <v>6024631</v>
      </c>
      <c r="M69" s="45"/>
      <c r="N69" s="45"/>
      <c r="O69" s="45"/>
      <c r="P69" s="39"/>
      <c r="Q69" s="39"/>
      <c r="R69" s="39"/>
      <c r="S69" s="39"/>
      <c r="T69" s="39"/>
      <c r="U69" s="39"/>
      <c r="V69" s="39"/>
      <c r="W69" s="39"/>
      <c r="X69" s="39"/>
      <c r="Y69" s="61">
        <f t="shared" si="9"/>
        <v>0</v>
      </c>
      <c r="Z69" s="61">
        <f t="shared" si="15"/>
        <v>0</v>
      </c>
      <c r="AA69" s="61">
        <f t="shared" si="15"/>
        <v>0</v>
      </c>
      <c r="AB69" s="61">
        <f t="shared" si="15"/>
        <v>0</v>
      </c>
      <c r="AC69" s="40"/>
      <c r="AD69" s="40"/>
      <c r="AE69" s="40"/>
      <c r="AF69" s="40"/>
      <c r="AG69" s="40"/>
      <c r="AH69" s="40"/>
      <c r="AI69" s="40"/>
      <c r="AJ69" s="41"/>
      <c r="AK69" s="39"/>
      <c r="AL69" s="46"/>
      <c r="AM69" s="46"/>
      <c r="AN69" s="54"/>
    </row>
    <row r="70" spans="1:40" ht="28.5">
      <c r="A70" s="26" t="s">
        <v>111</v>
      </c>
      <c r="B70" s="43" t="s">
        <v>112</v>
      </c>
      <c r="C70" s="43"/>
      <c r="D70" s="43">
        <v>0</v>
      </c>
      <c r="E70" s="55"/>
      <c r="F70" s="55"/>
      <c r="G70" s="45"/>
      <c r="H70" s="45"/>
      <c r="I70" s="45"/>
      <c r="J70" s="45"/>
      <c r="K70" s="45"/>
      <c r="L70" s="45"/>
      <c r="M70" s="45">
        <f aca="true" t="shared" si="17" ref="M70:S70">SUM(M71:M73)</f>
        <v>227400</v>
      </c>
      <c r="N70" s="45">
        <f t="shared" si="17"/>
        <v>207360</v>
      </c>
      <c r="O70" s="45"/>
      <c r="P70" s="45"/>
      <c r="Q70" s="45"/>
      <c r="R70" s="45">
        <f t="shared" si="17"/>
        <v>0</v>
      </c>
      <c r="S70" s="45">
        <f t="shared" si="17"/>
        <v>0</v>
      </c>
      <c r="T70" s="39"/>
      <c r="U70" s="39"/>
      <c r="V70" s="39"/>
      <c r="W70" s="39"/>
      <c r="X70" s="39"/>
      <c r="Y70" s="61">
        <f t="shared" si="9"/>
        <v>0</v>
      </c>
      <c r="Z70" s="61">
        <f t="shared" si="15"/>
        <v>0</v>
      </c>
      <c r="AA70" s="61">
        <f t="shared" si="15"/>
        <v>0</v>
      </c>
      <c r="AB70" s="61">
        <f t="shared" si="15"/>
        <v>0</v>
      </c>
      <c r="AC70" s="40"/>
      <c r="AD70" s="40"/>
      <c r="AE70" s="40"/>
      <c r="AF70" s="40"/>
      <c r="AG70" s="40"/>
      <c r="AH70" s="40"/>
      <c r="AI70" s="40"/>
      <c r="AJ70" s="41"/>
      <c r="AK70" s="39"/>
      <c r="AL70" s="46"/>
      <c r="AM70" s="46"/>
      <c r="AN70" s="54"/>
    </row>
    <row r="71" spans="1:40" ht="15">
      <c r="A71" s="32">
        <v>1</v>
      </c>
      <c r="B71" s="58" t="s">
        <v>113</v>
      </c>
      <c r="C71" s="58"/>
      <c r="D71" s="58">
        <v>271700</v>
      </c>
      <c r="E71" s="59">
        <v>273589</v>
      </c>
      <c r="F71" s="59">
        <v>240000</v>
      </c>
      <c r="G71" s="52"/>
      <c r="H71" s="52"/>
      <c r="I71" s="52"/>
      <c r="J71" s="52"/>
      <c r="K71" s="52"/>
      <c r="L71" s="52"/>
      <c r="M71" s="52"/>
      <c r="N71" s="52"/>
      <c r="O71" s="52"/>
      <c r="P71" s="52">
        <f>Q71</f>
        <v>41000</v>
      </c>
      <c r="Q71" s="39">
        <f>'[1]01a.CĐ'!I43</f>
        <v>41000</v>
      </c>
      <c r="R71" s="39"/>
      <c r="S71" s="39"/>
      <c r="T71" s="39">
        <f>'[1]10.vay'!G33</f>
        <v>1004022</v>
      </c>
      <c r="U71" s="39">
        <f>'[1]10.vay'!H33</f>
        <v>1000000</v>
      </c>
      <c r="V71" s="39"/>
      <c r="W71" s="39"/>
      <c r="X71" s="39"/>
      <c r="Y71" s="61">
        <f t="shared" si="9"/>
        <v>41000</v>
      </c>
      <c r="Z71" s="61">
        <f t="shared" si="15"/>
        <v>41000</v>
      </c>
      <c r="AA71" s="61">
        <f t="shared" si="15"/>
        <v>0</v>
      </c>
      <c r="AB71" s="61">
        <f t="shared" si="15"/>
        <v>0</v>
      </c>
      <c r="AC71" s="40"/>
      <c r="AD71" s="40"/>
      <c r="AE71" s="40"/>
      <c r="AF71" s="40"/>
      <c r="AG71" s="40"/>
      <c r="AH71" s="40"/>
      <c r="AI71" s="40"/>
      <c r="AJ71" s="41"/>
      <c r="AK71" s="39"/>
      <c r="AL71" s="46"/>
      <c r="AM71" s="46"/>
      <c r="AN71" s="54"/>
    </row>
    <row r="72" spans="1:40" ht="15">
      <c r="A72" s="32">
        <v>2</v>
      </c>
      <c r="B72" s="58" t="s">
        <v>114</v>
      </c>
      <c r="C72" s="58"/>
      <c r="D72" s="58">
        <v>358300</v>
      </c>
      <c r="E72" s="59"/>
      <c r="F72" s="59"/>
      <c r="G72" s="52">
        <f>I72</f>
        <v>412378</v>
      </c>
      <c r="H72" s="52">
        <v>29262</v>
      </c>
      <c r="I72" s="52">
        <f>'[1]10.vay'!E11</f>
        <v>412378</v>
      </c>
      <c r="J72" s="52"/>
      <c r="K72" s="52"/>
      <c r="L72" s="52"/>
      <c r="M72" s="52">
        <v>41000</v>
      </c>
      <c r="N72" s="52"/>
      <c r="O72" s="52"/>
      <c r="P72" s="52"/>
      <c r="Q72" s="39"/>
      <c r="R72" s="39"/>
      <c r="S72" s="39"/>
      <c r="T72" s="39"/>
      <c r="U72" s="39"/>
      <c r="V72" s="39"/>
      <c r="W72" s="39"/>
      <c r="X72" s="39"/>
      <c r="Y72" s="61">
        <f t="shared" si="9"/>
        <v>-412378</v>
      </c>
      <c r="Z72" s="61">
        <f t="shared" si="15"/>
        <v>-412378</v>
      </c>
      <c r="AA72" s="61">
        <f t="shared" si="15"/>
        <v>0</v>
      </c>
      <c r="AB72" s="61">
        <f t="shared" si="15"/>
        <v>0</v>
      </c>
      <c r="AC72" s="40"/>
      <c r="AD72" s="40"/>
      <c r="AE72" s="40"/>
      <c r="AF72" s="40"/>
      <c r="AG72" s="40"/>
      <c r="AH72" s="40"/>
      <c r="AI72" s="40"/>
      <c r="AJ72" s="41"/>
      <c r="AK72" s="39"/>
      <c r="AL72" s="46"/>
      <c r="AM72" s="46"/>
      <c r="AN72" s="54"/>
    </row>
    <row r="73" spans="1:40" ht="15">
      <c r="A73" s="32">
        <v>3</v>
      </c>
      <c r="B73" s="58" t="s">
        <v>115</v>
      </c>
      <c r="C73" s="58"/>
      <c r="D73" s="58">
        <v>358300</v>
      </c>
      <c r="E73" s="59">
        <v>518320</v>
      </c>
      <c r="F73" s="59">
        <v>218000</v>
      </c>
      <c r="G73" s="52"/>
      <c r="H73" s="52"/>
      <c r="I73" s="52"/>
      <c r="J73" s="52"/>
      <c r="K73" s="52"/>
      <c r="L73" s="52"/>
      <c r="M73" s="52">
        <v>186400</v>
      </c>
      <c r="N73" s="52">
        <v>207360</v>
      </c>
      <c r="O73" s="52"/>
      <c r="P73" s="52">
        <f>Q73</f>
        <v>207360</v>
      </c>
      <c r="Q73" s="39">
        <v>207360</v>
      </c>
      <c r="R73" s="39"/>
      <c r="S73" s="39"/>
      <c r="T73" s="39"/>
      <c r="U73" s="39"/>
      <c r="V73" s="39"/>
      <c r="W73" s="39"/>
      <c r="X73" s="39"/>
      <c r="Y73" s="61">
        <f t="shared" si="9"/>
        <v>207360</v>
      </c>
      <c r="Z73" s="61">
        <f t="shared" si="15"/>
        <v>207360</v>
      </c>
      <c r="AA73" s="61">
        <f t="shared" si="15"/>
        <v>0</v>
      </c>
      <c r="AB73" s="61">
        <f t="shared" si="15"/>
        <v>0</v>
      </c>
      <c r="AC73" s="40"/>
      <c r="AD73" s="40"/>
      <c r="AE73" s="40"/>
      <c r="AF73" s="40"/>
      <c r="AG73" s="40"/>
      <c r="AH73" s="40"/>
      <c r="AI73" s="40"/>
      <c r="AJ73" s="41"/>
      <c r="AK73" s="39"/>
      <c r="AL73" s="46"/>
      <c r="AM73" s="46"/>
      <c r="AN73" s="54"/>
    </row>
    <row r="74" spans="1:40" ht="28.5">
      <c r="A74" s="76" t="s">
        <v>116</v>
      </c>
      <c r="B74" s="77" t="s">
        <v>117</v>
      </c>
      <c r="C74" s="77"/>
      <c r="D74" s="77"/>
      <c r="E74" s="78"/>
      <c r="F74" s="78"/>
      <c r="G74" s="79"/>
      <c r="H74" s="79"/>
      <c r="I74" s="79"/>
      <c r="J74" s="79"/>
      <c r="K74" s="79"/>
      <c r="L74" s="79"/>
      <c r="M74" s="79"/>
      <c r="N74" s="79"/>
      <c r="O74" s="79"/>
      <c r="P74" s="80"/>
      <c r="Q74" s="80"/>
      <c r="R74" s="80"/>
      <c r="S74" s="80"/>
      <c r="T74" s="80"/>
      <c r="U74" s="80"/>
      <c r="V74" s="80"/>
      <c r="W74" s="80"/>
      <c r="X74" s="80"/>
      <c r="Y74" s="81">
        <f t="shared" si="9"/>
        <v>0</v>
      </c>
      <c r="Z74" s="81">
        <f t="shared" si="15"/>
        <v>0</v>
      </c>
      <c r="AA74" s="81">
        <f t="shared" si="15"/>
        <v>0</v>
      </c>
      <c r="AB74" s="81">
        <f t="shared" si="15"/>
        <v>0</v>
      </c>
      <c r="AC74" s="82"/>
      <c r="AD74" s="82"/>
      <c r="AE74" s="82"/>
      <c r="AF74" s="82"/>
      <c r="AG74" s="82"/>
      <c r="AH74" s="82"/>
      <c r="AI74" s="82"/>
      <c r="AJ74" s="83"/>
      <c r="AK74" s="80"/>
      <c r="AL74" s="84"/>
      <c r="AM74" s="84"/>
      <c r="AN74" s="85"/>
    </row>
    <row r="75" spans="1:16" ht="15">
      <c r="A75" s="11"/>
      <c r="G75" s="86"/>
      <c r="H75" s="86"/>
      <c r="I75" s="86"/>
      <c r="J75" s="86"/>
      <c r="K75" s="86"/>
      <c r="L75" s="86"/>
      <c r="M75" s="86"/>
      <c r="N75" s="86"/>
      <c r="O75" s="86"/>
      <c r="P75" s="86"/>
    </row>
    <row r="76" spans="1:28" ht="15" hidden="1">
      <c r="A76" s="32"/>
      <c r="B76" s="43" t="s">
        <v>118</v>
      </c>
      <c r="C76" s="58"/>
      <c r="D76" s="58"/>
      <c r="E76" s="59"/>
      <c r="F76" s="59"/>
      <c r="G76" s="52"/>
      <c r="H76" s="52"/>
      <c r="I76" s="52"/>
      <c r="J76" s="52"/>
      <c r="K76" s="52"/>
      <c r="L76" s="52"/>
      <c r="M76" s="52"/>
      <c r="N76" s="52">
        <v>186400</v>
      </c>
      <c r="O76" s="52"/>
      <c r="P76" s="52"/>
      <c r="Q76" s="39"/>
      <c r="R76" s="39"/>
      <c r="S76" s="39"/>
      <c r="T76" s="39"/>
      <c r="U76" s="39"/>
      <c r="V76" s="39"/>
      <c r="W76" s="39"/>
      <c r="X76" s="39"/>
      <c r="Y76" s="87"/>
      <c r="Z76" s="87"/>
      <c r="AA76" s="87"/>
      <c r="AB76" s="87"/>
    </row>
    <row r="77" spans="1:28" ht="15" hidden="1">
      <c r="A77" s="32"/>
      <c r="B77" s="58" t="s">
        <v>119</v>
      </c>
      <c r="C77" s="58"/>
      <c r="D77" s="58"/>
      <c r="E77" s="59"/>
      <c r="F77" s="59"/>
      <c r="G77" s="52"/>
      <c r="H77" s="52"/>
      <c r="I77" s="52"/>
      <c r="J77" s="52"/>
      <c r="K77" s="52"/>
      <c r="L77" s="52"/>
      <c r="M77" s="52">
        <f>M10-G10+M73</f>
        <v>1821647</v>
      </c>
      <c r="N77" s="52"/>
      <c r="O77" s="52"/>
      <c r="P77" s="52">
        <f>SUM(Q77:S77)</f>
        <v>1821647</v>
      </c>
      <c r="Q77" s="39">
        <f>M77-R77-S77</f>
        <v>227900</v>
      </c>
      <c r="R77" s="39">
        <f>R10-J10</f>
        <v>1639658</v>
      </c>
      <c r="S77" s="39">
        <f>S10-K10</f>
        <v>-45911</v>
      </c>
      <c r="T77" s="39"/>
      <c r="U77" s="39"/>
      <c r="V77" s="39"/>
      <c r="W77" s="39"/>
      <c r="X77" s="39"/>
      <c r="Y77" s="87"/>
      <c r="Z77" s="87"/>
      <c r="AA77" s="87"/>
      <c r="AB77" s="87"/>
    </row>
    <row r="78" spans="1:28" ht="15" hidden="1">
      <c r="A78" s="32"/>
      <c r="B78" s="58" t="s">
        <v>120</v>
      </c>
      <c r="C78" s="58"/>
      <c r="D78" s="58"/>
      <c r="E78" s="59"/>
      <c r="F78" s="59"/>
      <c r="G78" s="52"/>
      <c r="H78" s="52"/>
      <c r="I78" s="52"/>
      <c r="J78" s="52"/>
      <c r="K78" s="52"/>
      <c r="L78" s="52"/>
      <c r="M78" s="52"/>
      <c r="N78" s="52"/>
      <c r="O78" s="52"/>
      <c r="P78" s="52">
        <f>SUM(Q78:S78)</f>
        <v>500000</v>
      </c>
      <c r="Q78" s="39">
        <f>Q23-I23</f>
        <v>-513920</v>
      </c>
      <c r="R78" s="39">
        <f>R23-J23</f>
        <v>1191920</v>
      </c>
      <c r="S78" s="39">
        <f>S23-K23</f>
        <v>-178000</v>
      </c>
      <c r="T78" s="39"/>
      <c r="U78" s="39"/>
      <c r="V78" s="39"/>
      <c r="W78" s="39"/>
      <c r="X78" s="39"/>
      <c r="Y78" s="87"/>
      <c r="Z78" s="87"/>
      <c r="AA78" s="87"/>
      <c r="AB78" s="87"/>
    </row>
    <row r="79" spans="1:28" ht="15" hidden="1">
      <c r="A79" s="32"/>
      <c r="B79" s="58" t="s">
        <v>121</v>
      </c>
      <c r="C79" s="58"/>
      <c r="D79" s="58"/>
      <c r="E79" s="59"/>
      <c r="F79" s="59"/>
      <c r="G79" s="52"/>
      <c r="H79" s="52"/>
      <c r="I79" s="52"/>
      <c r="J79" s="52"/>
      <c r="K79" s="52"/>
      <c r="L79" s="52"/>
      <c r="M79" s="52"/>
      <c r="N79" s="52">
        <f>N76-N70</f>
        <v>-20960</v>
      </c>
      <c r="O79" s="52"/>
      <c r="P79" s="52">
        <f>SUM(Q79:S79)</f>
        <v>1321647</v>
      </c>
      <c r="Q79" s="39">
        <f>Q77-Q78</f>
        <v>741820</v>
      </c>
      <c r="R79" s="39">
        <f>R77-R78</f>
        <v>447738</v>
      </c>
      <c r="S79" s="39">
        <f>S77-S78</f>
        <v>132089</v>
      </c>
      <c r="T79" s="39"/>
      <c r="U79" s="39"/>
      <c r="V79" s="39"/>
      <c r="W79" s="39"/>
      <c r="X79" s="39"/>
      <c r="Y79" s="87"/>
      <c r="Z79" s="87"/>
      <c r="AA79" s="87"/>
      <c r="AB79" s="87"/>
    </row>
    <row r="80" spans="1:28" ht="15" hidden="1">
      <c r="A80" s="32"/>
      <c r="B80" s="58" t="s">
        <v>122</v>
      </c>
      <c r="C80" s="58"/>
      <c r="D80" s="58"/>
      <c r="E80" s="59"/>
      <c r="F80" s="59"/>
      <c r="G80" s="52"/>
      <c r="H80" s="52"/>
      <c r="I80" s="52"/>
      <c r="J80" s="52"/>
      <c r="K80" s="52"/>
      <c r="L80" s="52"/>
      <c r="M80" s="52"/>
      <c r="N80" s="52"/>
      <c r="O80" s="52"/>
      <c r="P80" s="52">
        <f aca="true" t="shared" si="18" ref="P80:P85">SUM(Q80:S80)</f>
        <v>169433</v>
      </c>
      <c r="Q80" s="39">
        <f>Q13-I13</f>
        <v>-948280</v>
      </c>
      <c r="R80" s="39">
        <f>R13-J13</f>
        <v>1241420</v>
      </c>
      <c r="S80" s="39">
        <f>S13-K13</f>
        <v>-123707</v>
      </c>
      <c r="T80" s="39"/>
      <c r="U80" s="39"/>
      <c r="V80" s="39"/>
      <c r="W80" s="39"/>
      <c r="X80" s="39"/>
      <c r="Y80" s="87"/>
      <c r="Z80" s="87"/>
      <c r="AA80" s="87"/>
      <c r="AB80" s="87"/>
    </row>
    <row r="81" spans="1:28" ht="15" hidden="1">
      <c r="A81" s="32"/>
      <c r="B81" s="58" t="s">
        <v>123</v>
      </c>
      <c r="C81" s="58"/>
      <c r="D81" s="58"/>
      <c r="E81" s="59"/>
      <c r="F81" s="59"/>
      <c r="G81" s="52"/>
      <c r="H81" s="52"/>
      <c r="I81" s="52"/>
      <c r="J81" s="52"/>
      <c r="K81" s="52"/>
      <c r="L81" s="52"/>
      <c r="M81" s="52"/>
      <c r="N81" s="52"/>
      <c r="O81" s="52"/>
      <c r="P81" s="52">
        <f t="shared" si="18"/>
        <v>-21600</v>
      </c>
      <c r="Q81" s="39">
        <f>Q58-I58</f>
        <v>-21600</v>
      </c>
      <c r="R81" s="39"/>
      <c r="S81" s="39"/>
      <c r="T81" s="39"/>
      <c r="U81" s="39"/>
      <c r="V81" s="39"/>
      <c r="W81" s="39"/>
      <c r="X81" s="39"/>
      <c r="Y81" s="87"/>
      <c r="Z81" s="87"/>
      <c r="AA81" s="87"/>
      <c r="AB81" s="87"/>
    </row>
    <row r="82" spans="1:28" ht="15" hidden="1">
      <c r="A82" s="32"/>
      <c r="B82" s="58" t="s">
        <v>124</v>
      </c>
      <c r="C82" s="58"/>
      <c r="D82" s="58"/>
      <c r="E82" s="59"/>
      <c r="F82" s="59"/>
      <c r="G82" s="52"/>
      <c r="H82" s="52"/>
      <c r="I82" s="52"/>
      <c r="J82" s="52"/>
      <c r="K82" s="52"/>
      <c r="L82" s="52"/>
      <c r="M82" s="52"/>
      <c r="N82" s="52">
        <f>186400</f>
        <v>186400</v>
      </c>
      <c r="O82" s="52"/>
      <c r="P82" s="52">
        <f t="shared" si="18"/>
        <v>568200</v>
      </c>
      <c r="Q82" s="39">
        <f>Q44-I44</f>
        <v>216881</v>
      </c>
      <c r="R82" s="39">
        <f>R44-J44</f>
        <v>324980</v>
      </c>
      <c r="S82" s="39">
        <f>S44-K44</f>
        <v>26339</v>
      </c>
      <c r="T82" s="39"/>
      <c r="U82" s="39"/>
      <c r="V82" s="39"/>
      <c r="W82" s="39"/>
      <c r="X82" s="39"/>
      <c r="Y82" s="87"/>
      <c r="Z82" s="87"/>
      <c r="AA82" s="87"/>
      <c r="AB82" s="87"/>
    </row>
    <row r="83" spans="1:28" ht="15" hidden="1">
      <c r="A83" s="32"/>
      <c r="B83" s="58" t="s">
        <v>125</v>
      </c>
      <c r="C83" s="58"/>
      <c r="D83" s="58"/>
      <c r="E83" s="59"/>
      <c r="F83" s="59"/>
      <c r="G83" s="52"/>
      <c r="H83" s="52"/>
      <c r="I83" s="52"/>
      <c r="J83" s="52"/>
      <c r="K83" s="52"/>
      <c r="L83" s="52"/>
      <c r="M83" s="52"/>
      <c r="N83" s="52">
        <v>41000</v>
      </c>
      <c r="O83" s="52"/>
      <c r="P83" s="52">
        <f t="shared" si="18"/>
        <v>225879</v>
      </c>
      <c r="Q83" s="39">
        <f>Q64-I64</f>
        <v>221912</v>
      </c>
      <c r="R83" s="39">
        <f>R64-J64</f>
        <v>3967</v>
      </c>
      <c r="S83" s="39">
        <f>S64-K64</f>
        <v>0</v>
      </c>
      <c r="T83" s="39"/>
      <c r="U83" s="39"/>
      <c r="V83" s="39"/>
      <c r="W83" s="39"/>
      <c r="X83" s="39"/>
      <c r="Y83" s="87"/>
      <c r="Z83" s="87"/>
      <c r="AA83" s="87"/>
      <c r="AB83" s="87"/>
    </row>
    <row r="84" spans="1:28" ht="15" hidden="1">
      <c r="A84" s="32"/>
      <c r="B84" s="58" t="s">
        <v>126</v>
      </c>
      <c r="C84" s="58"/>
      <c r="D84" s="58"/>
      <c r="E84" s="59"/>
      <c r="F84" s="59"/>
      <c r="G84" s="52"/>
      <c r="H84" s="52"/>
      <c r="I84" s="52"/>
      <c r="J84" s="52"/>
      <c r="K84" s="52"/>
      <c r="L84" s="52"/>
      <c r="M84" s="52"/>
      <c r="N84" s="52"/>
      <c r="O84" s="52"/>
      <c r="P84" s="52">
        <f t="shared" si="18"/>
        <v>39900</v>
      </c>
      <c r="Q84" s="39">
        <f aca="true" t="shared" si="19" ref="Q84:S85">Q60-I60</f>
        <v>-4409</v>
      </c>
      <c r="R84" s="39">
        <f t="shared" si="19"/>
        <v>41807</v>
      </c>
      <c r="S84" s="39">
        <f t="shared" si="19"/>
        <v>2502</v>
      </c>
      <c r="T84" s="39"/>
      <c r="U84" s="39"/>
      <c r="V84" s="39"/>
      <c r="W84" s="39"/>
      <c r="X84" s="39"/>
      <c r="Y84" s="87"/>
      <c r="Z84" s="87"/>
      <c r="AA84" s="87"/>
      <c r="AB84" s="87"/>
    </row>
    <row r="85" spans="1:28" ht="15" hidden="1">
      <c r="A85" s="32"/>
      <c r="B85" s="58" t="s">
        <v>127</v>
      </c>
      <c r="C85" s="58"/>
      <c r="D85" s="58"/>
      <c r="E85" s="59"/>
      <c r="F85" s="59"/>
      <c r="G85" s="52"/>
      <c r="H85" s="52"/>
      <c r="I85" s="52"/>
      <c r="J85" s="52"/>
      <c r="K85" s="52"/>
      <c r="L85" s="52"/>
      <c r="M85" s="52"/>
      <c r="N85" s="52"/>
      <c r="O85" s="52"/>
      <c r="P85" s="52">
        <f t="shared" si="18"/>
        <v>673475</v>
      </c>
      <c r="Q85" s="39">
        <f t="shared" si="19"/>
        <v>597036</v>
      </c>
      <c r="R85" s="39">
        <f t="shared" si="19"/>
        <v>27484</v>
      </c>
      <c r="S85" s="39">
        <f t="shared" si="19"/>
        <v>48955</v>
      </c>
      <c r="T85" s="39"/>
      <c r="U85" s="39"/>
      <c r="V85" s="39"/>
      <c r="W85" s="39"/>
      <c r="X85" s="39"/>
      <c r="Y85" s="87"/>
      <c r="Z85" s="87"/>
      <c r="AA85" s="87"/>
      <c r="AB85" s="87"/>
    </row>
    <row r="86" spans="1:28" ht="15" hidden="1">
      <c r="A86" s="32"/>
      <c r="B86" s="58" t="s">
        <v>128</v>
      </c>
      <c r="C86" s="58"/>
      <c r="D86" s="58"/>
      <c r="E86" s="59"/>
      <c r="F86" s="59"/>
      <c r="G86" s="52"/>
      <c r="H86" s="52"/>
      <c r="I86" s="52"/>
      <c r="J86" s="52"/>
      <c r="K86" s="52"/>
      <c r="L86" s="52"/>
      <c r="M86" s="52"/>
      <c r="N86" s="52"/>
      <c r="O86" s="52"/>
      <c r="P86" s="52">
        <v>166360</v>
      </c>
      <c r="Q86" s="39">
        <v>166360</v>
      </c>
      <c r="R86" s="39"/>
      <c r="S86" s="39"/>
      <c r="T86" s="39"/>
      <c r="U86" s="39"/>
      <c r="V86" s="39"/>
      <c r="W86" s="39"/>
      <c r="X86" s="39"/>
      <c r="Y86" s="87"/>
      <c r="Z86" s="87"/>
      <c r="AA86" s="87"/>
      <c r="AB86" s="87"/>
    </row>
    <row r="87" spans="1:28" ht="15" hidden="1">
      <c r="A87" s="32"/>
      <c r="B87" s="58"/>
      <c r="C87" s="58"/>
      <c r="D87" s="58"/>
      <c r="E87" s="59"/>
      <c r="F87" s="59"/>
      <c r="G87" s="52"/>
      <c r="H87" s="52"/>
      <c r="I87" s="52"/>
      <c r="J87" s="52"/>
      <c r="K87" s="52"/>
      <c r="L87" s="52"/>
      <c r="M87" s="52"/>
      <c r="N87" s="52"/>
      <c r="O87" s="52"/>
      <c r="P87" s="52"/>
      <c r="Q87" s="39"/>
      <c r="R87" s="39"/>
      <c r="S87" s="39"/>
      <c r="T87" s="39"/>
      <c r="U87" s="39"/>
      <c r="V87" s="39"/>
      <c r="W87" s="39"/>
      <c r="X87" s="39"/>
      <c r="Y87" s="87"/>
      <c r="Z87" s="87"/>
      <c r="AA87" s="87"/>
      <c r="AB87" s="87"/>
    </row>
    <row r="88" spans="1:28" ht="15" hidden="1">
      <c r="A88" s="32"/>
      <c r="B88" s="58" t="s">
        <v>129</v>
      </c>
      <c r="C88" s="58"/>
      <c r="D88" s="58"/>
      <c r="E88" s="59"/>
      <c r="F88" s="59"/>
      <c r="G88" s="52"/>
      <c r="H88" s="52"/>
      <c r="I88" s="52"/>
      <c r="J88" s="52"/>
      <c r="K88" s="52"/>
      <c r="L88" s="52"/>
      <c r="M88" s="52"/>
      <c r="N88" s="52"/>
      <c r="O88" s="52"/>
      <c r="P88" s="52"/>
      <c r="Q88" s="39"/>
      <c r="R88" s="39"/>
      <c r="S88" s="39"/>
      <c r="T88" s="39"/>
      <c r="U88" s="39"/>
      <c r="V88" s="39"/>
      <c r="W88" s="39"/>
      <c r="X88" s="39"/>
      <c r="Y88" s="87"/>
      <c r="Z88" s="87"/>
      <c r="AA88" s="87"/>
      <c r="AB88" s="87"/>
    </row>
    <row r="89" spans="1:28" ht="15" hidden="1">
      <c r="A89" s="32"/>
      <c r="B89" s="58" t="s">
        <v>130</v>
      </c>
      <c r="C89" s="58"/>
      <c r="D89" s="58"/>
      <c r="E89" s="59"/>
      <c r="F89" s="59"/>
      <c r="G89" s="52"/>
      <c r="H89" s="52"/>
      <c r="I89" s="52"/>
      <c r="J89" s="52"/>
      <c r="K89" s="52"/>
      <c r="L89" s="52"/>
      <c r="M89" s="52"/>
      <c r="N89" s="52"/>
      <c r="O89" s="52"/>
      <c r="P89" s="52">
        <f>P45-G45</f>
        <v>99129</v>
      </c>
      <c r="Q89" s="39"/>
      <c r="R89" s="39"/>
      <c r="S89" s="39"/>
      <c r="T89" s="39"/>
      <c r="U89" s="39"/>
      <c r="V89" s="39"/>
      <c r="W89" s="39"/>
      <c r="X89" s="39"/>
      <c r="Y89" s="87"/>
      <c r="Z89" s="87"/>
      <c r="AA89" s="87"/>
      <c r="AB89" s="87"/>
    </row>
    <row r="90" spans="1:28" ht="15" hidden="1">
      <c r="A90" s="32"/>
      <c r="B90" s="58" t="s">
        <v>131</v>
      </c>
      <c r="C90" s="58"/>
      <c r="D90" s="58"/>
      <c r="E90" s="59"/>
      <c r="F90" s="59"/>
      <c r="G90" s="52"/>
      <c r="H90" s="52"/>
      <c r="I90" s="52"/>
      <c r="J90" s="52"/>
      <c r="K90" s="52"/>
      <c r="L90" s="52"/>
      <c r="M90" s="52"/>
      <c r="N90" s="52"/>
      <c r="O90" s="52"/>
      <c r="P90" s="52">
        <f>P46-G46</f>
        <v>4200</v>
      </c>
      <c r="Q90" s="39"/>
      <c r="R90" s="39"/>
      <c r="S90" s="39"/>
      <c r="T90" s="39"/>
      <c r="U90" s="39"/>
      <c r="V90" s="39"/>
      <c r="W90" s="39"/>
      <c r="X90" s="39"/>
      <c r="Y90" s="87"/>
      <c r="Z90" s="87"/>
      <c r="AA90" s="87"/>
      <c r="AB90" s="87"/>
    </row>
    <row r="91" spans="1:28" ht="15" hidden="1">
      <c r="A91" s="32"/>
      <c r="B91" s="58" t="s">
        <v>132</v>
      </c>
      <c r="C91" s="58"/>
      <c r="D91" s="58"/>
      <c r="E91" s="59"/>
      <c r="F91" s="59"/>
      <c r="G91" s="52"/>
      <c r="H91" s="52"/>
      <c r="I91" s="52"/>
      <c r="J91" s="52"/>
      <c r="K91" s="52"/>
      <c r="L91" s="52"/>
      <c r="M91" s="52"/>
      <c r="N91" s="52"/>
      <c r="O91" s="52"/>
      <c r="P91" s="52">
        <f>P53-G53</f>
        <v>17457</v>
      </c>
      <c r="Q91" s="39"/>
      <c r="R91" s="39"/>
      <c r="S91" s="39"/>
      <c r="T91" s="39"/>
      <c r="U91" s="39"/>
      <c r="V91" s="39"/>
      <c r="W91" s="39"/>
      <c r="X91" s="39"/>
      <c r="Y91" s="87"/>
      <c r="Z91" s="87"/>
      <c r="AA91" s="87"/>
      <c r="AB91" s="87"/>
    </row>
    <row r="92" spans="1:28" ht="15" hidden="1">
      <c r="A92" s="32"/>
      <c r="B92" s="58"/>
      <c r="C92" s="58"/>
      <c r="D92" s="58"/>
      <c r="E92" s="59"/>
      <c r="F92" s="59"/>
      <c r="G92" s="52"/>
      <c r="H92" s="52"/>
      <c r="I92" s="52"/>
      <c r="J92" s="52"/>
      <c r="K92" s="52"/>
      <c r="L92" s="52"/>
      <c r="M92" s="52"/>
      <c r="N92" s="52"/>
      <c r="O92" s="52"/>
      <c r="P92" s="52"/>
      <c r="Q92" s="39"/>
      <c r="R92" s="39"/>
      <c r="S92" s="39"/>
      <c r="T92" s="39"/>
      <c r="U92" s="39"/>
      <c r="V92" s="39"/>
      <c r="W92" s="39"/>
      <c r="X92" s="39"/>
      <c r="Y92" s="87"/>
      <c r="Z92" s="87"/>
      <c r="AA92" s="87"/>
      <c r="AB92" s="87"/>
    </row>
  </sheetData>
  <sheetProtection/>
  <mergeCells count="20">
    <mergeCell ref="G1:K1"/>
    <mergeCell ref="R1:S1"/>
    <mergeCell ref="T1:U1"/>
    <mergeCell ref="AL1:AN1"/>
    <mergeCell ref="A2:AN2"/>
    <mergeCell ref="A3:AN3"/>
    <mergeCell ref="A6:A7"/>
    <mergeCell ref="B6:B7"/>
    <mergeCell ref="D6:E6"/>
    <mergeCell ref="G6:L6"/>
    <mergeCell ref="O6:O7"/>
    <mergeCell ref="P6:S7"/>
    <mergeCell ref="Y6:AB6"/>
    <mergeCell ref="AK6:AK7"/>
    <mergeCell ref="AL6:AM6"/>
    <mergeCell ref="AN6:AN7"/>
    <mergeCell ref="R4:S4"/>
    <mergeCell ref="T4:U4"/>
    <mergeCell ref="AL4:AN4"/>
    <mergeCell ref="P5:T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2020-07-08T08:51:25Z</dcterms:created>
  <dcterms:modified xsi:type="dcterms:W3CDTF">2020-07-08T09:02:00Z</dcterms:modified>
  <cp:category/>
  <cp:version/>
  <cp:contentType/>
  <cp:contentStatus/>
</cp:coreProperties>
</file>